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Building Regulations/NZEB Part L/TGD L Examples update 2023/"/>
    </mc:Choice>
  </mc:AlternateContent>
  <xr:revisionPtr revIDLastSave="31" documentId="8_{8F6F1B19-93AD-45D6-91A3-D83AA4E4DBF7}" xr6:coauthVersionLast="46" xr6:coauthVersionMax="47" xr10:uidLastSave="{6CE948B1-169D-4968-805E-5B5C560E54AE}"/>
  <workbookProtection workbookAlgorithmName="SHA-512" workbookHashValue="aL4BdDi0urkGWm0ekjsILTPwdIteg6i5UfQuU01pMU/H0q4Q2mjeLwSC0CLCs+8TDObqHxQgZCNxy4H2PLEcUA==" workbookSaltValue="W4TvMpBrMEuAlvX6yYqkaQ=="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4" l="1"/>
  <c r="I41" i="13"/>
  <c r="H41" i="13"/>
  <c r="D15" i="40"/>
  <c r="C15" i="40"/>
  <c r="B15" i="40"/>
  <c r="G36" i="53"/>
  <c r="F36" i="53"/>
  <c r="E36" i="53"/>
  <c r="D36" i="53"/>
  <c r="C36" i="53"/>
  <c r="G34" i="53"/>
  <c r="F34" i="53"/>
  <c r="E34" i="53"/>
  <c r="D34" i="53"/>
  <c r="C34" i="53"/>
  <c r="G32" i="53"/>
  <c r="F32" i="53"/>
  <c r="E32" i="53"/>
  <c r="D32" i="53"/>
  <c r="C32" i="53"/>
  <c r="C31" i="53"/>
  <c r="G35" i="53"/>
  <c r="F35" i="53"/>
  <c r="E35" i="53"/>
  <c r="D35" i="53"/>
  <c r="C35" i="53"/>
  <c r="G33" i="53"/>
  <c r="F33" i="53"/>
  <c r="E33" i="53"/>
  <c r="D33" i="53"/>
  <c r="C33" i="53"/>
  <c r="G31" i="53"/>
  <c r="F31" i="53"/>
  <c r="E31" i="53"/>
  <c r="D31" i="53"/>
  <c r="C29" i="53" l="1"/>
  <c r="C28" i="53"/>
  <c r="J154" i="58" l="1"/>
  <c r="B12" i="40"/>
  <c r="B13" i="40"/>
  <c r="C13" i="40"/>
  <c r="D13" i="40"/>
  <c r="C12" i="40"/>
  <c r="D12" i="40"/>
  <c r="F45" i="6"/>
  <c r="G45" i="6"/>
  <c r="H45" i="6"/>
  <c r="I45" i="6"/>
  <c r="J45" i="6"/>
  <c r="K45" i="6"/>
  <c r="L45" i="6"/>
  <c r="M45" i="6"/>
  <c r="E45" i="6"/>
  <c r="G16" i="63"/>
  <c r="G18" i="63" s="1"/>
  <c r="D59" i="24" l="1"/>
  <c r="D36" i="13"/>
  <c r="I11" i="59" l="1"/>
  <c r="J11" i="59"/>
  <c r="H11" i="59"/>
  <c r="I10" i="59"/>
  <c r="J10" i="59"/>
  <c r="H10" i="59"/>
  <c r="C110" i="24" l="1"/>
  <c r="J81" i="13" l="1"/>
  <c r="A42" i="59" l="1"/>
  <c r="A40" i="59"/>
  <c r="A41" i="59"/>
  <c r="A39" i="59"/>
  <c r="D12" i="59"/>
  <c r="E12" i="59"/>
  <c r="F12" i="59"/>
  <c r="G12" i="59"/>
  <c r="H12" i="59"/>
  <c r="I12" i="59"/>
  <c r="J12" i="59"/>
  <c r="K12" i="59"/>
  <c r="L12" i="59"/>
  <c r="M12" i="59"/>
  <c r="N12" i="59"/>
  <c r="C12" i="59"/>
  <c r="B116" i="52" l="1"/>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G32" i="55"/>
  <c r="Q32" i="53" s="1"/>
  <c r="G33" i="55"/>
  <c r="Q33" i="53" s="1"/>
  <c r="G34" i="55"/>
  <c r="Q34" i="53" s="1"/>
  <c r="G35" i="55"/>
  <c r="Q35" i="53" s="1"/>
  <c r="G36" i="55"/>
  <c r="Q36" i="53" s="1"/>
  <c r="D25" i="53"/>
  <c r="D23" i="53"/>
  <c r="D17" i="53"/>
  <c r="D15" i="53"/>
  <c r="D9" i="4"/>
  <c r="H4" i="59" s="1"/>
  <c r="O22" i="59" s="1"/>
  <c r="B24" i="52"/>
  <c r="B26" i="52" s="1"/>
  <c r="C25" i="53"/>
  <c r="C23" i="53"/>
  <c r="C17" i="53"/>
  <c r="C15" i="53"/>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F25" i="53"/>
  <c r="E25" i="53"/>
  <c r="G24" i="53"/>
  <c r="F24" i="53"/>
  <c r="E24" i="53"/>
  <c r="D24" i="53"/>
  <c r="C24" i="53"/>
  <c r="Q23" i="53"/>
  <c r="G23" i="53"/>
  <c r="F23" i="53"/>
  <c r="G22" i="53"/>
  <c r="F22" i="53"/>
  <c r="E22" i="53"/>
  <c r="D22" i="53"/>
  <c r="C22" i="53"/>
  <c r="G21" i="53"/>
  <c r="F21" i="53"/>
  <c r="E21" i="53"/>
  <c r="D21" i="53"/>
  <c r="C21" i="53"/>
  <c r="G20" i="53"/>
  <c r="F20" i="53"/>
  <c r="E20" i="53"/>
  <c r="D20" i="53"/>
  <c r="C20"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s="1"/>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D99" i="15"/>
  <c r="D98" i="15"/>
  <c r="K26" i="24"/>
  <c r="H61" i="24"/>
  <c r="F83" i="24"/>
  <c r="B96" i="15"/>
  <c r="B98" i="15"/>
  <c r="B99" i="15"/>
  <c r="M22" i="13"/>
  <c r="N40" i="13" s="1"/>
  <c r="H36" i="13" l="1"/>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J2" i="47" s="1"/>
  <c r="C8" i="47" s="1"/>
  <c r="W80" i="13"/>
  <c r="Z80" i="13" s="1"/>
  <c r="AA80" i="13" s="1"/>
  <c r="B17" i="54"/>
  <c r="F50" i="6"/>
  <c r="G11" i="63" s="1"/>
  <c r="H19" i="14"/>
  <c r="G25" i="14" s="1"/>
  <c r="G53" i="15"/>
  <c r="H53" i="15" s="1"/>
  <c r="I53" i="15" s="1"/>
  <c r="G52" i="15"/>
  <c r="H52" i="15" s="1"/>
  <c r="I52" i="15" s="1"/>
  <c r="G24" i="58"/>
  <c r="B25" i="58" s="1"/>
  <c r="A86" i="14"/>
  <c r="A84" i="14"/>
  <c r="A80" i="14"/>
  <c r="A82" i="14"/>
  <c r="H61" i="15"/>
  <c r="D62" i="58"/>
  <c r="G48" i="14"/>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M39" i="36" l="1"/>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E68" i="1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H37" i="11" l="1"/>
  <c r="H39" i="11" s="1"/>
  <c r="H45" i="11" s="1"/>
  <c r="L38" i="36"/>
  <c r="J38" i="36"/>
  <c r="C38" i="36"/>
  <c r="C41" i="36" s="1"/>
  <c r="C42" i="36" s="1"/>
  <c r="K38" i="36"/>
  <c r="E38" i="36"/>
  <c r="I38" i="36"/>
  <c r="I41" i="36" s="1"/>
  <c r="I42" i="36" s="1"/>
  <c r="D38" i="53"/>
  <c r="E38" i="53"/>
  <c r="F38" i="53"/>
  <c r="G38" i="53"/>
  <c r="G38" i="36"/>
  <c r="G41" i="36" s="1"/>
  <c r="G42" i="36" s="1"/>
  <c r="F38" i="36"/>
  <c r="F41" i="36" s="1"/>
  <c r="F42" i="36" s="1"/>
  <c r="H38" i="36"/>
  <c r="H41" i="36" s="1"/>
  <c r="H42" i="36" s="1"/>
  <c r="D38" i="36"/>
  <c r="D41" i="36" s="1"/>
  <c r="D42" i="36" s="1"/>
  <c r="N38" i="36"/>
  <c r="N41" i="36" s="1"/>
  <c r="N42" i="36" s="1"/>
  <c r="J41" i="36"/>
  <c r="J42" i="36" s="1"/>
  <c r="E76" i="15"/>
  <c r="M41" i="36"/>
  <c r="M42" i="36" s="1"/>
  <c r="K41" i="36"/>
  <c r="K42" i="36" s="1"/>
  <c r="L41" i="36"/>
  <c r="L42" i="36" s="1"/>
  <c r="E78" i="15"/>
  <c r="E41" i="36"/>
  <c r="E42" i="36" s="1"/>
  <c r="G81" i="15"/>
  <c r="P6" i="6" s="1"/>
  <c r="P19" i="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G8" i="63" s="1"/>
  <c r="G9" i="63" s="1"/>
  <c r="H57" i="14"/>
  <c r="H56" i="14" s="1"/>
  <c r="H58" i="14"/>
  <c r="H59" i="14"/>
  <c r="H54" i="14"/>
  <c r="J15" i="7"/>
  <c r="J14" i="7"/>
  <c r="G23" i="7" s="1"/>
  <c r="H23" i="7" s="1"/>
  <c r="I23" i="7" s="1"/>
  <c r="H47" i="11"/>
  <c r="W5" i="53"/>
  <c r="W11" i="53"/>
  <c r="W17" i="53"/>
  <c r="W25" i="53"/>
  <c r="F12" i="47"/>
  <c r="H12" i="47" s="1"/>
  <c r="F11" i="47"/>
  <c r="H11" i="47" s="1"/>
  <c r="F61" i="13"/>
  <c r="M81" i="13"/>
  <c r="G60" i="13"/>
  <c r="F11" i="32" s="1"/>
  <c r="F236" i="58" s="1"/>
  <c r="H60" i="13"/>
  <c r="G11" i="32" s="1"/>
  <c r="G236" i="58" s="1"/>
  <c r="E11" i="32"/>
  <c r="E236" i="58" s="1"/>
  <c r="C44" i="53"/>
  <c r="G45" i="53" s="1"/>
  <c r="H43" i="11" l="1"/>
  <c r="D90" i="52"/>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Q54" i="7" l="1"/>
  <c r="Q102" i="7" s="1"/>
  <c r="Q103" i="7" s="1"/>
  <c r="L65" i="11" s="1"/>
  <c r="AH59" i="13"/>
  <c r="L58" i="11"/>
  <c r="L59" i="11" s="1"/>
  <c r="L64" i="11" s="1"/>
  <c r="L70"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X24" i="53"/>
  <c r="Q100" i="7"/>
  <c r="AF17" i="13" s="1"/>
  <c r="AF55" i="13" s="1"/>
  <c r="AH55" i="13" s="1"/>
  <c r="L20" i="7"/>
  <c r="F47" i="7" s="1"/>
  <c r="F82" i="24"/>
  <c r="C114" i="24"/>
  <c r="G82" i="24"/>
  <c r="E10" i="32" l="1"/>
  <c r="E234" i="58" s="1"/>
  <c r="G10" i="32"/>
  <c r="G234" i="58" s="1"/>
  <c r="U44" i="36"/>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C44" i="36"/>
  <c r="C50" i="36" s="1"/>
  <c r="C51" i="36" s="1"/>
  <c r="D211" i="58"/>
  <c r="D161" i="58"/>
  <c r="F100" i="7"/>
  <c r="A106" i="7"/>
  <c r="K106" i="58"/>
  <c r="D44" i="36"/>
  <c r="D50" i="36" s="1"/>
  <c r="D51" i="36" s="1"/>
  <c r="D52" i="36" s="1"/>
  <c r="D53" i="36" s="1"/>
  <c r="D55" i="36" s="1"/>
  <c r="G44" i="36"/>
  <c r="G50" i="36" s="1"/>
  <c r="G51" i="36" s="1"/>
  <c r="G52" i="36" s="1"/>
  <c r="G53" i="36" s="1"/>
  <c r="G55" i="36" s="1"/>
  <c r="F79" i="24"/>
  <c r="G79" i="24"/>
  <c r="D78" i="13"/>
  <c r="H56" i="13"/>
  <c r="E7" i="32"/>
  <c r="E231" i="58" s="1"/>
  <c r="J44" i="36" l="1"/>
  <c r="J50" i="36" s="1"/>
  <c r="J51" i="36" s="1"/>
  <c r="J52" i="36" s="1"/>
  <c r="J53" i="36" s="1"/>
  <c r="J55" i="36" s="1"/>
  <c r="M44" i="36"/>
  <c r="M50" i="36" s="1"/>
  <c r="M51" i="36" s="1"/>
  <c r="M52" i="36" s="1"/>
  <c r="M53" i="36" s="1"/>
  <c r="M55" i="36" s="1"/>
  <c r="K44" i="36"/>
  <c r="K50" i="36" s="1"/>
  <c r="K51" i="36" s="1"/>
  <c r="K63" i="36" s="1"/>
  <c r="G122" i="58"/>
  <c r="L44" i="36"/>
  <c r="L50" i="36" s="1"/>
  <c r="L51" i="36" s="1"/>
  <c r="L52" i="36" s="1"/>
  <c r="L53" i="36" s="1"/>
  <c r="L55" i="36" s="1"/>
  <c r="N44" i="36"/>
  <c r="N50" i="36" s="1"/>
  <c r="N51" i="36" s="1"/>
  <c r="N63" i="36" s="1"/>
  <c r="F44" i="36"/>
  <c r="F50" i="36" s="1"/>
  <c r="F51" i="36" s="1"/>
  <c r="F63" i="36" s="1"/>
  <c r="I44" i="36"/>
  <c r="I50" i="36" s="1"/>
  <c r="I51" i="36" s="1"/>
  <c r="I52" i="36" s="1"/>
  <c r="I53" i="36" s="1"/>
  <c r="I55" i="36" s="1"/>
  <c r="E44" i="36"/>
  <c r="E50" i="36" s="1"/>
  <c r="E51" i="36" s="1"/>
  <c r="E64" i="36" s="1"/>
  <c r="H44" i="36"/>
  <c r="H50" i="36" s="1"/>
  <c r="H51" i="36" s="1"/>
  <c r="H64" i="36" s="1"/>
  <c r="O21" i="59"/>
  <c r="O24" i="59" s="1"/>
  <c r="O25" i="59" s="1"/>
  <c r="AG53" i="13"/>
  <c r="AH53" i="13"/>
  <c r="AG54" i="13"/>
  <c r="AH54" i="13"/>
  <c r="G7" i="32"/>
  <c r="G231" i="58" s="1"/>
  <c r="F7" i="32"/>
  <c r="F231" i="58" s="1"/>
  <c r="E19" i="55"/>
  <c r="A21" i="55"/>
  <c r="D20" i="55"/>
  <c r="J63" i="36"/>
  <c r="J64" i="36"/>
  <c r="G113" i="58"/>
  <c r="E78" i="24"/>
  <c r="N18" i="13"/>
  <c r="G64" i="36"/>
  <c r="G63" i="36"/>
  <c r="C52" i="36"/>
  <c r="C64" i="36"/>
  <c r="C63" i="36"/>
  <c r="D64" i="36"/>
  <c r="D63" i="36"/>
  <c r="E63" i="36" l="1"/>
  <c r="K52" i="36"/>
  <c r="K53" i="36" s="1"/>
  <c r="K55" i="36" s="1"/>
  <c r="M63" i="36"/>
  <c r="I64" i="36"/>
  <c r="N52" i="36"/>
  <c r="N53" i="36" s="1"/>
  <c r="N55" i="36" s="1"/>
  <c r="O44" i="36"/>
  <c r="L63" i="36"/>
  <c r="F52" i="36"/>
  <c r="F53" i="36" s="1"/>
  <c r="F55" i="36" s="1"/>
  <c r="N64" i="36"/>
  <c r="L64" i="36"/>
  <c r="F64" i="36"/>
  <c r="O51" i="36"/>
  <c r="K28" i="8"/>
  <c r="K29" i="8" s="1"/>
  <c r="H52" i="36"/>
  <c r="H53" i="36" s="1"/>
  <c r="H55" i="36" s="1"/>
  <c r="H63" i="36"/>
  <c r="K64" i="36"/>
  <c r="E52" i="36"/>
  <c r="E53" i="36" s="1"/>
  <c r="E55" i="36" s="1"/>
  <c r="M64" i="36"/>
  <c r="I63" i="36"/>
  <c r="O26" i="59"/>
  <c r="F57" i="13"/>
  <c r="E80" i="24"/>
  <c r="AH61" i="13"/>
  <c r="AG61" i="13"/>
  <c r="A22" i="55"/>
  <c r="D21" i="55"/>
  <c r="E20" i="55"/>
  <c r="C53" i="36"/>
  <c r="O63" i="36" l="1"/>
  <c r="O64" i="36"/>
  <c r="O52" i="36"/>
  <c r="G80" i="24"/>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D116" i="52"/>
  <c r="L105" i="24" s="1"/>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7" i="13"/>
  <c r="M27" i="24"/>
  <c r="E28" i="55" l="1"/>
  <c r="A30" i="55"/>
  <c r="D29" i="55"/>
  <c r="G10" i="47"/>
  <c r="F10" i="47"/>
  <c r="B32" i="54"/>
  <c r="B38" i="54" s="1"/>
  <c r="B28" i="54"/>
  <c r="B30" i="54" s="1"/>
  <c r="B108" i="52" s="1"/>
  <c r="E29" i="55" l="1"/>
  <c r="A31" i="55"/>
  <c r="D30" i="55"/>
  <c r="S23" i="24"/>
  <c r="N14" i="13"/>
  <c r="J16" i="13" s="1"/>
  <c r="J152" i="58" s="1"/>
  <c r="F116" i="52"/>
  <c r="H10" i="47"/>
  <c r="A32" i="55" l="1"/>
  <c r="D31" i="55"/>
  <c r="E30" i="55"/>
  <c r="N27" i="24"/>
  <c r="C107" i="24"/>
  <c r="K77" i="13"/>
  <c r="M77" i="13" s="1"/>
  <c r="K105" i="24"/>
  <c r="M105" i="24" s="1"/>
  <c r="N105" i="24" s="1"/>
  <c r="W81" i="13"/>
  <c r="Z81" i="13" s="1"/>
  <c r="AA81" i="13" s="1"/>
  <c r="J17" i="13"/>
  <c r="F55" i="13" s="1"/>
  <c r="C77" i="13" l="1"/>
  <c r="D77" i="13"/>
  <c r="E31" i="55"/>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T11" i="53" l="1"/>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AC19" i="53" l="1"/>
  <c r="AC31" i="53"/>
  <c r="AC28" i="53"/>
  <c r="AC25" i="53"/>
  <c r="AC21" i="53"/>
  <c r="F61" i="53" s="1"/>
  <c r="F62" i="53" s="1"/>
  <c r="AC26" i="53"/>
  <c r="G61" i="53" s="1"/>
  <c r="G75" i="53" s="1"/>
  <c r="AC5" i="53"/>
  <c r="AC23" i="53"/>
  <c r="AC12" i="53"/>
  <c r="AC20" i="53"/>
  <c r="AC17" i="53"/>
  <c r="AC14" i="53"/>
  <c r="E61" i="53" s="1"/>
  <c r="AC18" i="53"/>
  <c r="AC13" i="53"/>
  <c r="AC6" i="53"/>
  <c r="AC10" i="53"/>
  <c r="AC29" i="53"/>
  <c r="AC22" i="53"/>
  <c r="AC8" i="53"/>
  <c r="D61" i="53" s="1"/>
  <c r="AC7" i="53"/>
  <c r="AC24" i="53"/>
  <c r="AC27" i="53"/>
  <c r="AC30" i="53"/>
  <c r="AC9" i="53"/>
  <c r="AC15" i="53"/>
  <c r="AC4" i="53"/>
  <c r="C61" i="53" s="1"/>
  <c r="AC16" i="53"/>
  <c r="AC11" i="53"/>
  <c r="F67" i="53" l="1"/>
  <c r="F79" i="53" s="1"/>
  <c r="F82" i="53" s="1"/>
  <c r="G62" i="53"/>
  <c r="G67" i="53"/>
  <c r="G79" i="53" s="1"/>
  <c r="G82" i="53" s="1"/>
  <c r="F75" i="53"/>
  <c r="C67" i="53"/>
  <c r="C62" i="53"/>
  <c r="C75" i="53"/>
  <c r="H75" i="53" s="1"/>
  <c r="D115" i="52" s="1"/>
  <c r="E62" i="53"/>
  <c r="E75" i="53"/>
  <c r="E67" i="53"/>
  <c r="D75" i="53"/>
  <c r="D62" i="53"/>
  <c r="D67" i="53"/>
  <c r="D79" i="53" s="1"/>
  <c r="D82" i="53" s="1"/>
  <c r="F69" i="53" l="1"/>
  <c r="L104" i="24"/>
  <c r="L75" i="13"/>
  <c r="G69" i="53"/>
  <c r="E69" i="53"/>
  <c r="D69" i="53"/>
  <c r="E79" i="53"/>
  <c r="E82" i="53" s="1"/>
  <c r="C69" i="53"/>
  <c r="H69" i="53" s="1"/>
  <c r="H71" i="53" s="1"/>
  <c r="H62" i="53"/>
  <c r="B115" i="52" s="1"/>
  <c r="C79" i="53"/>
  <c r="C82" i="53" s="1"/>
  <c r="H82" i="53" s="1"/>
  <c r="H67" i="53"/>
  <c r="H79" i="53" s="1"/>
  <c r="H73" i="53" l="1"/>
  <c r="B106" i="52"/>
  <c r="H85" i="53"/>
  <c r="H77" i="53"/>
  <c r="F115" i="52" s="1"/>
  <c r="K104" i="24" l="1"/>
  <c r="M104" i="24" s="1"/>
  <c r="N104" i="24" s="1"/>
  <c r="K75" i="13"/>
  <c r="M75" i="13" s="1"/>
  <c r="N75" i="13" s="1"/>
  <c r="N4" i="13"/>
  <c r="J7" i="13" s="1"/>
  <c r="P23" i="24"/>
  <c r="G2" i="47" l="1"/>
  <c r="C13" i="47" s="1"/>
  <c r="F13" i="47" s="1"/>
  <c r="J148" i="58"/>
  <c r="J10" i="13"/>
  <c r="F53" i="13" s="1"/>
  <c r="D75" i="13" s="1"/>
  <c r="D84" i="13" s="1"/>
  <c r="C2" i="47" s="1"/>
  <c r="C17" i="47" s="1"/>
  <c r="W78" i="13"/>
  <c r="Z78" i="13" s="1"/>
  <c r="AA78" i="13" s="1"/>
  <c r="AA91" i="13" s="1"/>
  <c r="AA93" i="13" s="1"/>
  <c r="AA94" i="13" s="1"/>
  <c r="C106" i="24"/>
  <c r="C115" i="24" s="1"/>
  <c r="N26" i="24"/>
  <c r="L30" i="24" s="1"/>
  <c r="L48" i="24" s="1"/>
  <c r="I55" i="24" s="1"/>
  <c r="G17" i="47" l="1"/>
  <c r="F17" i="47"/>
  <c r="G13" i="47"/>
  <c r="H13" i="47" s="1"/>
  <c r="E4" i="32"/>
  <c r="E17" i="32" s="1"/>
  <c r="H53" i="13"/>
  <c r="C75" i="13"/>
  <c r="C84" i="13" s="1"/>
  <c r="G53" i="13"/>
  <c r="F4" i="32" s="1"/>
  <c r="I57" i="24"/>
  <c r="G78" i="24" s="1"/>
  <c r="G6" i="32" s="1"/>
  <c r="G230" i="58" s="1"/>
  <c r="G76" i="24"/>
  <c r="H17" i="47" l="1"/>
  <c r="F17" i="32"/>
  <c r="F228" i="58"/>
  <c r="B2" i="47"/>
  <c r="C16" i="47" s="1"/>
  <c r="C21" i="47" s="1"/>
  <c r="G4" i="32"/>
  <c r="E228" i="58"/>
  <c r="F242" i="58" l="1"/>
  <c r="F18" i="32"/>
  <c r="E32" i="32"/>
  <c r="G16" i="47"/>
  <c r="G18" i="47" s="1"/>
  <c r="F16" i="47"/>
  <c r="F18" i="47" s="1"/>
  <c r="G228" i="58"/>
  <c r="G17" i="32"/>
  <c r="E242" i="58"/>
  <c r="E18" i="32"/>
  <c r="E243" i="58" s="1"/>
  <c r="G21" i="47"/>
  <c r="F21" i="47"/>
  <c r="G22" i="47" l="1"/>
  <c r="C249" i="58"/>
  <c r="E34" i="32"/>
  <c r="E249" i="58" s="1"/>
  <c r="F20" i="32"/>
  <c r="F243" i="58"/>
  <c r="H21" i="47"/>
  <c r="H16" i="47"/>
  <c r="H18" i="47" s="1"/>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<sst xmlns="http://schemas.openxmlformats.org/spreadsheetml/2006/main" count="3058" uniqueCount="1664">
  <si>
    <t>Date</t>
  </si>
  <si>
    <t>Revision</t>
  </si>
  <si>
    <t xml:space="preserve">Description </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</si>
  <si>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</si>
  <si>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</si>
  <si>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</si>
  <si>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</si>
  <si>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</si>
  <si>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</si>
  <si>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</si>
  <si>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</si>
  <si>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Antonella Uras NZEB Programme Manager</t>
  </si>
  <si>
    <t>Rev 1.4</t>
  </si>
  <si>
    <t>Muiris O'Neill CM Programme Executive</t>
  </si>
  <si>
    <t>Antonella Uras CM Programme Manager</t>
  </si>
  <si>
    <t>Heat pumps naming changes v 1.3</t>
  </si>
  <si>
    <t>Description</t>
  </si>
  <si>
    <t>Location</t>
  </si>
  <si>
    <t>Sheet</t>
  </si>
  <si>
    <t>Cell:</t>
  </si>
  <si>
    <t>Existing text in the workbook:</t>
  </si>
  <si>
    <t>Text change in the workbook v1.3 (Cooling development version 0.7)</t>
  </si>
  <si>
    <t>Cell</t>
  </si>
  <si>
    <t>HP</t>
  </si>
  <si>
    <t>A38</t>
  </si>
  <si>
    <t>Test Conditions EN 14825:2013</t>
  </si>
  <si>
    <t>Test Conditions I.S. EN 14825</t>
  </si>
  <si>
    <t>Cooling Calculation</t>
  </si>
  <si>
    <t>Cooling</t>
  </si>
  <si>
    <t>All Cells</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</si>
  <si>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</si>
  <si>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</si>
  <si>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</si>
  <si>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ER1</t>
  </si>
  <si>
    <t>Row 36</t>
  </si>
  <si>
    <t>A49/51</t>
  </si>
  <si>
    <t>EN 14825:2013 -Table 15 (ASHP) or Table 27 (GSHP)</t>
  </si>
  <si>
    <t xml:space="preserve"> Source from Ecodesign data or 
I.S. EN14825 Table 9 for air source. 
Table 13 for brine or water source. 
[These table # references are from 2016 version of this standard]</t>
  </si>
  <si>
    <t>Row 57</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</si>
  <si>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</si>
  <si>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</si>
  <si>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</si>
  <si>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Row 79</t>
  </si>
  <si>
    <t>EN 14825:2013 - Table 21 (ASHP) or Table 33 (GSHP)</t>
  </si>
  <si>
    <t xml:space="preserve"> Source from Ecodesign data or 
I.S. EN14825 Table 11 for air source. 
Table 15 for brine or water source. 
[These table # references are from 2016 version of this standard]</t>
  </si>
  <si>
    <t>ER2</t>
  </si>
  <si>
    <t>Row 59</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</si>
  <si>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</si>
  <si>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</si>
  <si>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</si>
  <si>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80</t>
  </si>
  <si>
    <t>B40</t>
  </si>
  <si>
    <t>Medium Temperature</t>
  </si>
  <si>
    <t>Intermediate Temperature</t>
  </si>
  <si>
    <t>Row 110</t>
  </si>
  <si>
    <t>B41</t>
  </si>
  <si>
    <t>Very High Temperature</t>
  </si>
  <si>
    <t>High Temperature</t>
  </si>
  <si>
    <t>Result</t>
  </si>
  <si>
    <t>Row 8</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</si>
  <si>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</si>
  <si>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</si>
  <si>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</si>
  <si>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</si>
  <si>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</si>
  <si>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</si>
  <si>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</si>
  <si>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</si>
  <si>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</si>
  <si>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</si>
  <si>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</si>
  <si>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</si>
  <si>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</si>
  <si>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A88</t>
  </si>
  <si>
    <t>Standby Heat Loss</t>
  </si>
  <si>
    <t>Standing heat loss of test storage tank</t>
  </si>
  <si>
    <t>Heating Calc</t>
  </si>
  <si>
    <t>A16</t>
  </si>
  <si>
    <t>Medium Temperature (oC)</t>
  </si>
  <si>
    <t>Intermediate Temperature (oC)</t>
  </si>
  <si>
    <t>A17</t>
  </si>
  <si>
    <t>High Temperature (oC)</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</si>
  <si>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</si>
  <si>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</si>
  <si>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</si>
  <si>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</si>
  <si>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</si>
  <si>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</si>
  <si>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</si>
  <si>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</si>
  <si>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</si>
  <si>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</si>
  <si>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</si>
  <si>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</si>
  <si>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</si>
  <si>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</si>
  <si>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</si>
  <si>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</si>
  <si>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</si>
  <si>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</si>
  <si>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</si>
  <si>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</si>
  <si>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</si>
  <si>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</si>
  <si>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</si>
  <si>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</si>
  <si>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</si>
  <si>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</si>
  <si>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</si>
  <si>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</si>
  <si>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</si>
  <si>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</si>
  <si>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</si>
  <si>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</si>
  <si>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</si>
  <si>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</si>
  <si>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</si>
  <si>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</si>
  <si>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</si>
  <si>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</si>
  <si>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</si>
  <si>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</si>
  <si>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</si>
  <si>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</si>
  <si>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</si>
  <si>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</si>
  <si>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</si>
  <si>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</si>
  <si>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</si>
  <si>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</si>
  <si>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</si>
  <si>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Calculation workbook Version 4.2 v1.4</t>
  </si>
  <si>
    <t>Cooling Calculations and naming changes for HP</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</si>
  <si>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</si>
  <si>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</si>
  <si>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</si>
  <si>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</si>
  <si>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</si>
  <si>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</si>
  <si>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</si>
  <si>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</si>
  <si>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</si>
  <si>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</si>
  <si>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</si>
  <si>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</si>
  <si>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</si>
  <si>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</si>
  <si>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</si>
  <si>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</si>
  <si>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</si>
  <si>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</si>
  <si>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</si>
  <si>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</si>
  <si>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</si>
  <si>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</si>
  <si>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</si>
  <si>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</si>
  <si>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</si>
  <si>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</si>
  <si>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</si>
  <si>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</si>
  <si>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</si>
  <si>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</si>
  <si>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</si>
  <si>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</si>
  <si>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</si>
  <si>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</si>
  <si>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</si>
  <si>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</si>
  <si>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</si>
  <si>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</si>
  <si>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</si>
  <si>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</si>
  <si>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</si>
  <si>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</si>
  <si>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</si>
  <si>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</si>
  <si>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</si>
  <si>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</si>
  <si>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</si>
  <si>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</si>
  <si>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</si>
  <si>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</si>
  <si>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</si>
  <si>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</si>
  <si>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</si>
  <si>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</si>
  <si>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</si>
  <si>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</si>
  <si>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</si>
  <si>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</si>
  <si>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</si>
  <si>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</si>
  <si>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</si>
  <si>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</si>
  <si>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</si>
  <si>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</si>
  <si>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</si>
  <si>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</si>
  <si>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</si>
  <si>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</si>
  <si>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</si>
  <si>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</si>
  <si>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</si>
  <si>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</si>
  <si>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</si>
  <si>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</si>
  <si>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</si>
  <si>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</si>
  <si>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</si>
  <si>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</si>
  <si>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</si>
  <si>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</si>
  <si>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</si>
  <si>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</si>
  <si>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</si>
  <si>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</si>
  <si>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</si>
  <si>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</si>
  <si>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</si>
  <si>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</si>
  <si>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</si>
  <si>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</si>
  <si>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</si>
  <si>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</si>
  <si>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</si>
  <si>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</si>
  <si>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</si>
  <si>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</si>
  <si>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</si>
  <si>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</si>
  <si>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</si>
  <si>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</si>
  <si>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</si>
  <si>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</si>
  <si>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</si>
  <si>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</si>
  <si>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</si>
  <si>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</si>
  <si>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</si>
  <si>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</si>
  <si>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</si>
  <si>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</si>
  <si>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</si>
  <si>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</si>
  <si>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</si>
  <si>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</si>
  <si>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</si>
  <si>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</si>
  <si>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</si>
  <si>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</si>
  <si>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</si>
  <si>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</si>
  <si>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</si>
  <si>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</si>
  <si>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</si>
  <si>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</si>
  <si>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</si>
  <si>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</si>
  <si>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</si>
  <si>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</si>
  <si>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</si>
  <si>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</si>
  <si>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</si>
  <si>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</si>
  <si>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</si>
  <si>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</si>
  <si>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</si>
  <si>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</si>
  <si>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</si>
  <si>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</si>
  <si>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</si>
  <si>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</si>
  <si>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</si>
  <si>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</si>
  <si>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</si>
  <si>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</si>
  <si>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</si>
  <si>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</si>
  <si>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</si>
  <si>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</si>
  <si>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</si>
  <si>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</si>
  <si>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</si>
  <si>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</si>
  <si>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</si>
  <si>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</si>
  <si>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</si>
  <si>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</si>
  <si>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</si>
  <si>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</si>
  <si>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</si>
  <si>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</si>
  <si>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</si>
  <si>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</si>
  <si>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</si>
  <si>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</si>
  <si>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</si>
  <si>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</si>
  <si>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</si>
  <si>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</si>
  <si>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</si>
  <si>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</si>
  <si>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</si>
  <si>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Natural ventilation</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</si>
  <si>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</si>
  <si>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</si>
  <si>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</si>
  <si>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</si>
  <si>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</si>
  <si>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</si>
  <si>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</si>
  <si>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</si>
  <si>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</si>
  <si>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</si>
  <si>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</si>
  <si>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</si>
  <si>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</si>
  <si>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</si>
  <si>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</si>
  <si>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</si>
  <si>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</si>
  <si>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</si>
  <si>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</si>
  <si>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</si>
  <si>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</si>
  <si>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</si>
  <si>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</si>
  <si>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</si>
  <si>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NA</t>
  </si>
  <si>
    <t>Electricity for ventilation fans [kWh/y]</t>
  </si>
  <si>
    <t>Heat gains from ventilation fans [W]</t>
  </si>
  <si>
    <t>Ventilation methods</t>
  </si>
  <si>
    <t>Effective air change rate</t>
  </si>
  <si>
    <t>Default SPF</t>
  </si>
  <si>
    <t>[W/(L/s)]</t>
  </si>
  <si>
    <t>Positive input ventilation from loft</t>
  </si>
  <si>
    <t>Positive input ventilation from outside</t>
  </si>
  <si>
    <t>Whole-house extract ventilation</t>
  </si>
  <si>
    <t>Balanced whole-house mechanical ventilation, no heat recovery</t>
  </si>
  <si>
    <t>Balanced whole-house mechanical ventilation with heat recovery</t>
  </si>
  <si>
    <t>Exhaust Air Heat Pump</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</si>
  <si>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</si>
  <si>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</si>
  <si>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</si>
  <si>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</si>
  <si>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</si>
  <si>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</si>
  <si>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</si>
  <si>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</si>
  <si>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</si>
  <si>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</si>
  <si>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</si>
  <si>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</si>
  <si>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</si>
  <si>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</si>
  <si>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</si>
  <si>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</si>
  <si>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</si>
  <si>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</si>
  <si>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</si>
  <si>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</si>
  <si>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</si>
  <si>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</si>
  <si>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</si>
  <si>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</si>
  <si>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</si>
  <si>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</si>
  <si>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</si>
  <si>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</si>
  <si>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</si>
  <si>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</si>
  <si>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</si>
  <si>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</si>
  <si>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</si>
  <si>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</si>
  <si>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</si>
  <si>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</si>
  <si>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</si>
  <si>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</si>
  <si>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</si>
  <si>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</si>
  <si>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</si>
  <si>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</si>
  <si>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</si>
  <si>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</si>
  <si>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</si>
  <si>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</si>
  <si>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</si>
  <si>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</si>
  <si>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</si>
  <si>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</si>
  <si>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</si>
  <si>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</si>
  <si>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</si>
  <si>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</si>
  <si>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</si>
  <si>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</si>
  <si>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</si>
  <si>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</si>
  <si>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</si>
  <si>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</si>
  <si>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</si>
  <si>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</si>
  <si>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</si>
  <si>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</si>
  <si>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</si>
  <si>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</si>
  <si>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</si>
  <si>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</si>
  <si>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</si>
  <si>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</si>
  <si>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</si>
  <si>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</si>
  <si>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</si>
  <si>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</si>
  <si>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</si>
  <si>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</si>
  <si>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</si>
  <si>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</si>
  <si>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</si>
  <si>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</si>
  <si>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</si>
  <si>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</si>
  <si>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</si>
  <si>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</si>
  <si>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</si>
  <si>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</si>
  <si>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</si>
  <si>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</si>
  <si>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</si>
  <si>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</si>
  <si>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</si>
  <si>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</si>
  <si>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</si>
  <si>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</si>
  <si>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</si>
  <si>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</si>
  <si>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</si>
  <si>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</si>
  <si>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</si>
  <si>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</si>
  <si>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</si>
  <si>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</si>
  <si>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</si>
  <si>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</si>
  <si>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</si>
  <si>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</si>
  <si>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</si>
  <si>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</si>
  <si>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</si>
  <si>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</si>
  <si>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</si>
  <si>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</si>
  <si>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</si>
  <si>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</si>
  <si>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</si>
  <si>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</si>
  <si>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</si>
  <si>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</si>
  <si>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</si>
  <si>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</si>
  <si>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</si>
  <si>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</si>
  <si>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</si>
  <si>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</si>
  <si>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</si>
  <si>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</si>
  <si>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</si>
  <si>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</si>
  <si>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</si>
  <si>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</si>
  <si>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</si>
  <si>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</si>
  <si>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</si>
  <si>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</si>
  <si>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</si>
  <si>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</si>
  <si>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</si>
  <si>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</si>
  <si>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</si>
  <si>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</si>
  <si>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</si>
  <si>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</si>
  <si>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</si>
  <si>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</si>
  <si>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</si>
  <si>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</si>
  <si>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</si>
  <si>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</si>
  <si>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</si>
  <si>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</si>
  <si>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</si>
  <si>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</si>
  <si>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</si>
  <si>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</si>
  <si>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</si>
  <si>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</si>
  <si>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</si>
  <si>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</si>
  <si>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</si>
  <si>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</si>
  <si>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</si>
  <si>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</si>
  <si>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</si>
  <si>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</si>
  <si>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</si>
  <si>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</si>
  <si>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</si>
  <si>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</si>
  <si>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</si>
  <si>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</si>
  <si>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</si>
  <si>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</si>
  <si>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</si>
  <si>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</si>
  <si>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</si>
  <si>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</si>
  <si>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</si>
  <si>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</si>
  <si>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</si>
  <si>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</si>
  <si>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</si>
  <si>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</si>
  <si>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</si>
  <si>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</si>
  <si>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</si>
  <si>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</si>
  <si>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</si>
  <si>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</si>
  <si>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</si>
  <si>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</si>
  <si>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</si>
  <si>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</si>
  <si>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</si>
  <si>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</si>
  <si>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</si>
  <si>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Vented hot water system</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</si>
  <si>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</si>
  <si>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</si>
  <si>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</si>
  <si>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</si>
  <si>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</si>
  <si>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</si>
  <si>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</si>
  <si>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</si>
  <si>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</si>
  <si>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</si>
  <si>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</si>
  <si>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</si>
  <si>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</si>
  <si>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</si>
  <si>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</si>
  <si>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</si>
  <si>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</si>
  <si>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</si>
  <si>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</si>
  <si>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</si>
  <si>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</si>
  <si>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</si>
  <si>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</si>
  <si>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</si>
  <si>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</si>
  <si>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</si>
  <si>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</si>
  <si>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</si>
  <si>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</si>
  <si>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</si>
  <si>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</si>
  <si>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</si>
  <si>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</si>
  <si>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</si>
  <si>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</si>
  <si>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</si>
  <si>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</si>
  <si>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</si>
  <si>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</si>
  <si>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</si>
  <si>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</si>
  <si>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</si>
  <si>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</si>
  <si>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</si>
  <si>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</si>
  <si>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</si>
  <si>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</si>
  <si>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</si>
  <si>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</si>
  <si>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</si>
  <si>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</si>
  <si>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</si>
  <si>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</si>
  <si>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</si>
  <si>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</si>
  <si>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</si>
  <si>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</si>
  <si>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</si>
  <si>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</si>
  <si>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</si>
  <si>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</si>
  <si>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</si>
  <si>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</si>
  <si>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</si>
  <si>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</si>
  <si>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</si>
  <si>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</si>
  <si>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</si>
  <si>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</si>
  <si>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</si>
  <si>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</si>
  <si>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</si>
  <si>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</si>
  <si>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</si>
  <si>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</si>
  <si>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</si>
  <si>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</si>
  <si>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</si>
  <si>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</si>
  <si>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</si>
  <si>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</si>
  <si>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</si>
  <si>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</si>
  <si>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</si>
  <si>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</si>
  <si>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</si>
  <si>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</si>
  <si>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</si>
  <si>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</si>
  <si>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</si>
  <si>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</si>
  <si>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</si>
  <si>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</si>
  <si>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</si>
  <si>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</si>
  <si>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</si>
  <si>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</si>
  <si>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</si>
  <si>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</si>
  <si>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</si>
  <si>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</si>
  <si>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</si>
  <si>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</si>
  <si>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</si>
  <si>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</si>
  <si>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</si>
  <si>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</si>
  <si>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</si>
  <si>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</si>
  <si>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</si>
  <si>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</si>
  <si>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</si>
  <si>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</si>
  <si>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</si>
  <si>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</si>
  <si>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</si>
  <si>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</si>
  <si>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</si>
  <si>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</si>
  <si>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</si>
  <si>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</si>
  <si>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</si>
  <si>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</si>
  <si>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</si>
  <si>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</si>
  <si>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</si>
  <si>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</si>
  <si>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</si>
  <si>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</si>
  <si>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</si>
  <si>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</si>
  <si>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</si>
  <si>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</si>
  <si>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</si>
  <si>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</si>
  <si>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</si>
  <si>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</si>
  <si>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Incandescent</t>
  </si>
  <si>
    <t>CLfixed</t>
  </si>
  <si>
    <t xml:space="preserve">If No, </t>
  </si>
  <si>
    <t>No of Lamps</t>
  </si>
  <si>
    <t>Linear flourescent</t>
  </si>
  <si>
    <t>LEDs/ CFL</t>
  </si>
  <si>
    <t>Halogen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</si>
  <si>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</si>
  <si>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</si>
  <si>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</si>
  <si>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</si>
  <si>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</si>
  <si>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</si>
  <si>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</si>
  <si>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</si>
  <si>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</si>
  <si>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</si>
  <si>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</si>
  <si>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</si>
  <si>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</si>
  <si>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</si>
  <si>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</si>
  <si>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</si>
  <si>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</si>
  <si>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</si>
  <si>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</si>
  <si>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</si>
  <si>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</si>
  <si>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</si>
  <si>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</si>
  <si>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</si>
  <si>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</si>
  <si>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</si>
  <si>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</si>
  <si>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</si>
  <si>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</si>
  <si>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</si>
  <si>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</si>
  <si>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</si>
  <si>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</si>
  <si>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</si>
  <si>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</si>
  <si>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</si>
  <si>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</si>
  <si>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</si>
  <si>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</si>
  <si>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</si>
  <si>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</si>
  <si>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</si>
  <si>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</si>
  <si>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</si>
  <si>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</si>
  <si>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</si>
  <si>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</si>
  <si>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</si>
  <si>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</si>
  <si>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</si>
  <si>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</si>
  <si>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</si>
  <si>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</si>
  <si>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</si>
  <si>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</si>
  <si>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</si>
  <si>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</si>
  <si>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</si>
  <si>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</si>
  <si>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</si>
  <si>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</si>
  <si>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</si>
  <si>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</si>
  <si>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</si>
  <si>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</si>
  <si>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</si>
  <si>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</si>
  <si>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</si>
  <si>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</si>
  <si>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</si>
  <si>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</si>
  <si>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</si>
  <si>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</si>
  <si>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</si>
  <si>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</si>
  <si>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</si>
  <si>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</si>
  <si>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</si>
  <si>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</si>
  <si>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</si>
  <si>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</si>
  <si>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</si>
  <si>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</si>
  <si>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</si>
  <si>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</si>
  <si>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</si>
  <si>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</si>
  <si>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</si>
  <si>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</si>
  <si>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</si>
  <si>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</si>
  <si>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</si>
  <si>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</si>
  <si>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</si>
  <si>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</si>
  <si>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</si>
  <si>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</si>
  <si>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</si>
  <si>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</si>
  <si>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</si>
  <si>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</si>
  <si>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</si>
  <si>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</si>
  <si>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</si>
  <si>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</si>
  <si>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</si>
  <si>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</si>
  <si>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</si>
  <si>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</si>
  <si>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</si>
  <si>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</si>
  <si>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</si>
  <si>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</si>
  <si>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</si>
  <si>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</si>
  <si>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</si>
  <si>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</si>
  <si>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</si>
  <si>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</si>
  <si>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</si>
  <si>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</si>
  <si>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</si>
  <si>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</si>
  <si>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</si>
  <si>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</si>
  <si>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</si>
  <si>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</si>
  <si>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</si>
  <si>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</si>
  <si>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</si>
  <si>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</si>
  <si>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</si>
  <si>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</si>
  <si>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</si>
  <si>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</si>
  <si>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</si>
  <si>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</si>
  <si>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</si>
  <si>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</si>
  <si>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</si>
  <si>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</si>
  <si>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</si>
  <si>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</si>
  <si>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</si>
  <si>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</si>
  <si>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</si>
  <si>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</si>
  <si>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</si>
  <si>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</si>
  <si>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</si>
  <si>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</si>
  <si>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</si>
  <si>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</si>
  <si>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</si>
  <si>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</si>
  <si>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</si>
  <si>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</si>
  <si>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</si>
  <si>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</si>
  <si>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</si>
  <si>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</si>
  <si>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Make</t>
  </si>
  <si>
    <t>Model(s) of cooling system</t>
  </si>
  <si>
    <t>Model</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</si>
  <si>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</si>
  <si>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</si>
  <si>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</si>
  <si>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</si>
  <si>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</si>
  <si>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</si>
  <si>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</si>
  <si>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</si>
  <si>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</si>
  <si>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</si>
  <si>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</si>
  <si>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</si>
  <si>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</si>
  <si>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</si>
  <si>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</si>
  <si>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</si>
  <si>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</si>
  <si>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</si>
  <si>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</si>
  <si>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</si>
  <si>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</si>
  <si>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</si>
  <si>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</si>
  <si>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</si>
  <si>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</si>
  <si>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</si>
  <si>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</si>
  <si>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</si>
  <si>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</si>
  <si>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</si>
  <si>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</si>
  <si>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</si>
  <si>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</si>
  <si>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</si>
  <si>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</si>
  <si>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</si>
  <si>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</si>
  <si>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or from Table 4a or 4b)</t>
  </si>
  <si>
    <t>Central Boiler</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</si>
  <si>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</si>
  <si>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</si>
  <si>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</si>
  <si>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</si>
  <si>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</si>
  <si>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</si>
  <si>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</si>
  <si>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</si>
  <si>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</si>
  <si>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</si>
  <si>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</si>
  <si>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</si>
  <si>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</si>
  <si>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</si>
  <si>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</si>
  <si>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</si>
  <si>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</si>
  <si>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</si>
  <si>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</si>
  <si>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</si>
  <si>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</si>
  <si>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</si>
  <si>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</si>
  <si>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</si>
  <si>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</si>
  <si>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</si>
  <si>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</si>
  <si>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</si>
  <si>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</si>
  <si>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</si>
  <si>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</si>
  <si>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</si>
  <si>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</si>
  <si>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</si>
  <si>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</si>
  <si>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</si>
  <si>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</si>
  <si>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</si>
  <si>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</si>
  <si>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</si>
  <si>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</si>
  <si>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</si>
  <si>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</si>
  <si>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</si>
  <si>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</si>
  <si>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</si>
  <si>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</si>
  <si>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</si>
  <si>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</si>
  <si>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</si>
  <si>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</si>
  <si>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</si>
  <si>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</si>
  <si>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</si>
  <si>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</si>
  <si>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</si>
  <si>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</si>
  <si>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</si>
  <si>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</si>
  <si>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</si>
  <si>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</si>
  <si>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</si>
  <si>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</si>
  <si>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</si>
  <si>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</si>
  <si>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</si>
  <si>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</si>
  <si>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</si>
  <si>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</si>
  <si>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</si>
  <si>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</si>
  <si>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</si>
  <si>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</si>
  <si>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</si>
  <si>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</si>
  <si>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</si>
  <si>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</si>
  <si>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</si>
  <si>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</si>
  <si>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</si>
  <si>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</si>
  <si>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</si>
  <si>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</si>
  <si>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</si>
  <si>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</si>
  <si>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</si>
  <si>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</si>
  <si>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</si>
  <si>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</si>
  <si>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</si>
  <si>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</si>
  <si>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</si>
  <si>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</si>
  <si>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</si>
  <si>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</si>
  <si>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</si>
  <si>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</si>
  <si>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</si>
  <si>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</si>
  <si>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</si>
  <si>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</si>
  <si>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</si>
  <si>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</si>
  <si>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</si>
  <si>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</si>
  <si>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</si>
  <si>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</si>
  <si>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</si>
  <si>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</si>
  <si>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</si>
  <si>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</si>
  <si>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</si>
  <si>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</si>
  <si>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</si>
  <si>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</si>
  <si>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</si>
  <si>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</si>
  <si>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</si>
  <si>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</si>
  <si>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</si>
  <si>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</si>
  <si>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</si>
  <si>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</si>
  <si>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</si>
  <si>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</si>
  <si>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</si>
  <si>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</si>
  <si>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</si>
  <si>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</si>
  <si>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</si>
  <si>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</si>
  <si>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</si>
  <si>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</si>
  <si>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</si>
  <si>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</si>
  <si>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</si>
  <si>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</si>
  <si>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</si>
  <si>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</si>
  <si>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</si>
  <si>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</si>
  <si>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</si>
  <si>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</si>
  <si>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</si>
  <si>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</si>
  <si>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 Efficiency</t>
  </si>
  <si>
    <t>wood pellets - bulk supply, for main htg</t>
  </si>
  <si>
    <t>Solar heating system</t>
  </si>
  <si>
    <t>Check total:</t>
  </si>
  <si>
    <t>Factors for heat delivered to dwelling from boilers</t>
  </si>
  <si>
    <t>CHP or District Heating</t>
  </si>
  <si>
    <t>If the fraction of heat from CHP/District Heating is zero, this section is irrelevant.</t>
  </si>
  <si>
    <t>District Heating</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</si>
  <si>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</si>
  <si>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</si>
  <si>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</si>
  <si>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</si>
  <si>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</si>
  <si>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</si>
  <si>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</si>
  <si>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</si>
  <si>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</si>
  <si>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</si>
  <si>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</si>
  <si>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</si>
  <si>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</si>
  <si>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</si>
  <si>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</si>
  <si>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</si>
  <si>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</si>
  <si>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</si>
  <si>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</si>
  <si>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</si>
  <si>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</si>
  <si>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</si>
  <si>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</si>
  <si>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</si>
  <si>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</si>
  <si>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Boiler type 1</t>
  </si>
  <si>
    <t>Group heating - Boiler type 2</t>
  </si>
  <si>
    <t>Heat Pump as water heating system</t>
  </si>
  <si>
    <t>Group heating - System 3</t>
  </si>
  <si>
    <t>Group heating - System 4</t>
  </si>
  <si>
    <t>Group heating - Solar heating system</t>
  </si>
  <si>
    <t>Contribution from District Heating</t>
  </si>
  <si>
    <t>Group heating - Heat pump</t>
  </si>
  <si>
    <t>Wood/biomass/bioethanol/biodiesel heater as secondary space heating system</t>
  </si>
  <si>
    <r>
      <t>Fuel lists</t>
    </r>
    <r>
      <rPr>
        <sz val="10"/>
        <rFont val="Arial"/>
        <family val="2"/>
      </rPr>
      <t xml:space="preserve"> (referencing Ener1 sheet)</t>
    </r>
  </si>
  <si>
    <t>Individual solar water heating system</t>
  </si>
  <si>
    <t>Group heating boilers and CHP plant</t>
  </si>
  <si>
    <t>Individual heater</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</si>
  <si>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</si>
  <si>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</si>
  <si>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</si>
  <si>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</si>
  <si>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</si>
  <si>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</si>
  <si>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</si>
  <si>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</si>
  <si>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</si>
  <si>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</si>
  <si>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</si>
  <si>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</si>
  <si>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</si>
  <si>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</si>
  <si>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</si>
  <si>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</si>
  <si>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</si>
  <si>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</si>
  <si>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chips</t>
  </si>
  <si>
    <t>solid multi-fuel</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</si>
  <si>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</si>
  <si>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</si>
  <si>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</si>
  <si>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</si>
  <si>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</si>
  <si>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</si>
  <si>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</si>
  <si>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</si>
  <si>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</si>
  <si>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</si>
  <si>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</si>
  <si>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</si>
  <si>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</si>
  <si>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</si>
  <si>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</si>
  <si>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</si>
  <si>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</si>
  <si>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</si>
  <si>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</si>
  <si>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</si>
  <si>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</si>
  <si>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</si>
  <si>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</si>
  <si>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</si>
  <si>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</si>
  <si>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</si>
  <si>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</si>
  <si>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</si>
  <si>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</si>
  <si>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</si>
  <si>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</si>
  <si>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</si>
  <si>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</si>
  <si>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</si>
  <si>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</si>
  <si>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</si>
  <si>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</si>
  <si>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</si>
  <si>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</si>
  <si>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</si>
  <si>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</si>
  <si>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</si>
  <si>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</si>
  <si>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</si>
  <si>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</si>
  <si>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</si>
  <si>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</si>
  <si>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</si>
  <si>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</si>
  <si>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</si>
  <si>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</si>
  <si>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</si>
  <si>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</si>
  <si>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</si>
  <si>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</si>
  <si>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</si>
  <si>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</si>
  <si>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</si>
  <si>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</si>
  <si>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</si>
  <si>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</si>
  <si>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</si>
  <si>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</si>
  <si>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</si>
  <si>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</si>
  <si>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</si>
  <si>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</si>
  <si>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</si>
  <si>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</si>
  <si>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</si>
  <si>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</si>
  <si>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</si>
  <si>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</si>
  <si>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</si>
  <si>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</si>
  <si>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</si>
  <si>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</si>
  <si>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</si>
  <si>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</si>
  <si>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</si>
  <si>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</si>
  <si>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</si>
  <si>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</si>
  <si>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</si>
  <si>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</si>
  <si>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</si>
  <si>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</si>
  <si>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</si>
  <si>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</si>
  <si>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</si>
  <si>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</si>
  <si>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</si>
  <si>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</si>
  <si>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</si>
  <si>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</si>
  <si>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</si>
  <si>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</si>
  <si>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</si>
  <si>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</si>
  <si>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</si>
  <si>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</si>
  <si>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</si>
  <si>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</si>
  <si>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</si>
  <si>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</si>
  <si>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</si>
  <si>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</si>
  <si>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</si>
  <si>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</si>
  <si>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</si>
  <si>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</si>
  <si>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</si>
  <si>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</si>
  <si>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</si>
  <si>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</si>
  <si>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</si>
  <si>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</si>
  <si>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</si>
  <si>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</si>
  <si>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</si>
  <si>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</si>
  <si>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</si>
  <si>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</si>
  <si>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</si>
  <si>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</si>
  <si>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</si>
  <si>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</si>
  <si>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</si>
  <si>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</si>
  <si>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</si>
  <si>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</si>
  <si>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</si>
  <si>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</si>
  <si>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</si>
  <si>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</si>
  <si>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</si>
  <si>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</si>
  <si>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</si>
  <si>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</si>
  <si>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</si>
  <si>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</si>
  <si>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</si>
  <si>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</si>
  <si>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</si>
  <si>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</si>
  <si>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</si>
  <si>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</si>
  <si>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</si>
  <si>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</si>
  <si>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</si>
  <si>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</si>
  <si>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</si>
  <si>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</si>
  <si>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</si>
  <si>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</si>
  <si>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</si>
  <si>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</si>
  <si>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</si>
  <si>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</si>
  <si>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</si>
  <si>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</si>
  <si>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</si>
  <si>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</si>
  <si>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</si>
  <si>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</si>
  <si>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</si>
  <si>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</si>
  <si>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</si>
  <si>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</si>
  <si>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</si>
  <si>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</si>
  <si>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</si>
  <si>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</si>
  <si>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</si>
  <si>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</si>
  <si>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</si>
  <si>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</si>
  <si>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</si>
  <si>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</si>
  <si>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</si>
  <si>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</si>
  <si>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</si>
  <si>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</si>
  <si>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</si>
  <si>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</si>
  <si>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</si>
  <si>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</si>
  <si>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</si>
  <si>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</si>
  <si>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</si>
  <si>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</si>
  <si>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</si>
  <si>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</si>
  <si>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</si>
  <si>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</si>
  <si>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</si>
  <si>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</si>
  <si>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</si>
  <si>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</si>
  <si>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</si>
  <si>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</si>
  <si>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</si>
  <si>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</si>
  <si>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</si>
  <si>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</si>
  <si>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</si>
  <si>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</si>
  <si>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</si>
  <si>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</si>
  <si>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</si>
  <si>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</si>
  <si>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</si>
  <si>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</si>
  <si>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</si>
  <si>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</si>
  <si>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</si>
  <si>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</si>
  <si>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</si>
  <si>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</si>
  <si>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</si>
  <si>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</si>
  <si>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</si>
  <si>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</si>
  <si>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</si>
  <si>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</si>
  <si>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</si>
  <si>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</si>
  <si>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</si>
  <si>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</si>
  <si>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</si>
  <si>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</si>
  <si>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</si>
  <si>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</si>
  <si>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</si>
  <si>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</si>
  <si>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</si>
  <si>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</si>
  <si>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</si>
  <si>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</si>
  <si>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</si>
  <si>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</si>
  <si>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</si>
  <si>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</si>
  <si>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</si>
  <si>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</si>
  <si>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</si>
  <si>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</si>
  <si>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</si>
  <si>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</si>
  <si>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</si>
  <si>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</si>
  <si>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</si>
  <si>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</si>
  <si>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</si>
  <si>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</si>
  <si>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</si>
  <si>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</si>
  <si>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</si>
  <si>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</si>
  <si>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</si>
  <si>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</si>
  <si>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</si>
  <si>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</si>
  <si>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</si>
  <si>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</si>
  <si>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</si>
  <si>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</si>
  <si>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</si>
  <si>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</si>
  <si>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</si>
  <si>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</si>
  <si>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</si>
  <si>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</si>
  <si>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</si>
  <si>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</si>
  <si>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</si>
  <si>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</si>
  <si>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</si>
  <si>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</si>
  <si>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</si>
  <si>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</si>
  <si>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</si>
  <si>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</si>
  <si>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</si>
  <si>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</si>
  <si>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</si>
  <si>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</si>
  <si>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</si>
  <si>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</si>
  <si>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</si>
  <si>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</si>
  <si>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</si>
  <si>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</si>
  <si>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</si>
  <si>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</si>
  <si>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</si>
  <si>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</si>
  <si>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</si>
  <si>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</si>
  <si>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</si>
  <si>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</si>
  <si>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</si>
  <si>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</si>
  <si>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</si>
  <si>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</si>
  <si>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</si>
  <si>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</si>
  <si>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</si>
  <si>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</si>
  <si>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</si>
  <si>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</si>
  <si>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</si>
  <si>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</si>
  <si>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</si>
  <si>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</si>
  <si>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</si>
  <si>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</si>
  <si>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</si>
  <si>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</si>
  <si>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</si>
  <si>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</si>
  <si>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</si>
  <si>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</si>
  <si>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</si>
  <si>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</si>
  <si>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</si>
  <si>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</si>
  <si>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</si>
  <si>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</si>
  <si>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</si>
  <si>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</si>
  <si>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</si>
  <si>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</si>
  <si>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</si>
  <si>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</si>
  <si>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</si>
  <si>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</si>
  <si>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</si>
  <si>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</si>
  <si>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</si>
  <si>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</si>
  <si>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</si>
  <si>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</si>
  <si>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</si>
  <si>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</si>
  <si>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</si>
  <si>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</si>
  <si>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</si>
  <si>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</si>
  <si>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</si>
  <si>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</si>
  <si>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</si>
  <si>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</si>
  <si>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</si>
  <si>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</si>
  <si>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</si>
  <si>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</si>
  <si>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</si>
  <si>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</si>
  <si>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</si>
  <si>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</si>
  <si>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</si>
  <si>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</si>
  <si>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</si>
  <si>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</si>
  <si>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</si>
  <si>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</si>
  <si>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</si>
  <si>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</si>
  <si>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</si>
  <si>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</si>
  <si>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</si>
  <si>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</si>
  <si>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</si>
  <si>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</si>
  <si>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</si>
  <si>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</si>
  <si>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</si>
  <si>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</si>
  <si>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</si>
  <si>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</si>
  <si>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</si>
  <si>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</si>
  <si>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</si>
  <si>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</si>
  <si>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</si>
  <si>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</si>
  <si>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</si>
  <si>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</si>
  <si>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</si>
  <si>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</si>
  <si>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</si>
  <si>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</si>
  <si>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</si>
  <si>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</si>
  <si>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</si>
  <si>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</si>
  <si>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</si>
  <si>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</si>
  <si>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</si>
  <si>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</si>
  <si>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</si>
  <si>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</si>
  <si>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</si>
  <si>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</si>
  <si>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</si>
  <si>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</si>
  <si>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</si>
  <si>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</si>
  <si>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</si>
  <si>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</si>
  <si>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</si>
  <si>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</si>
  <si>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</si>
  <si>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</si>
  <si>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</si>
  <si>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</si>
  <si>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</si>
  <si>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</si>
  <si>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</si>
  <si>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</si>
  <si>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</si>
  <si>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</si>
  <si>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</si>
  <si>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</si>
  <si>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</si>
  <si>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</si>
  <si>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</si>
  <si>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</si>
  <si>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</si>
  <si>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</si>
  <si>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</si>
  <si>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</si>
  <si>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</si>
  <si>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</si>
  <si>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</si>
  <si>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</si>
  <si>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</si>
  <si>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</si>
  <si>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</si>
  <si>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</si>
  <si>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</si>
  <si>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</si>
  <si>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</si>
  <si>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</si>
  <si>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</si>
  <si>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</si>
  <si>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</si>
  <si>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</si>
  <si>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</si>
  <si>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</si>
  <si>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</si>
  <si>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</si>
  <si>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</si>
  <si>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</si>
  <si>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</si>
  <si>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</si>
  <si>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</si>
  <si>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</si>
  <si>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</si>
  <si>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</si>
  <si>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</si>
  <si>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</si>
  <si>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</si>
  <si>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</si>
  <si>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</si>
  <si>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</si>
  <si>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</si>
  <si>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</si>
  <si>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</si>
  <si>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</si>
  <si>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</si>
  <si>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</si>
  <si>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</si>
  <si>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</si>
  <si>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</si>
  <si>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</si>
  <si>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</si>
  <si>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</si>
  <si>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</si>
  <si>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</si>
  <si>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</si>
  <si>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</si>
  <si>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</si>
  <si>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</si>
  <si>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</si>
  <si>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</si>
  <si>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</si>
  <si>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</si>
  <si>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</si>
  <si>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</si>
  <si>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</si>
  <si>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</si>
  <si>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</si>
  <si>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</si>
  <si>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</si>
  <si>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</si>
  <si>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</si>
  <si>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</si>
  <si>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</si>
  <si>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</si>
  <si>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</si>
  <si>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</si>
  <si>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</si>
  <si>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</si>
  <si>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</si>
  <si>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</si>
  <si>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</si>
  <si>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</si>
  <si>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</si>
  <si>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</si>
  <si>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</si>
  <si>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</si>
  <si>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</si>
  <si>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</si>
  <si>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</si>
  <si>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</si>
  <si>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</si>
  <si>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</si>
  <si>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</si>
  <si>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</si>
  <si>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</si>
  <si>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</si>
  <si>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</si>
  <si>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</si>
  <si>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</si>
  <si>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</si>
  <si>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</si>
  <si>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</si>
  <si>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</si>
  <si>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</si>
  <si>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</si>
  <si>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</si>
  <si>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</si>
  <si>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</si>
  <si>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</si>
  <si>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</si>
  <si>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</si>
  <si>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</si>
  <si>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</si>
  <si>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</si>
  <si>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</si>
  <si>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</si>
  <si>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</si>
  <si>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</si>
  <si>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</si>
  <si>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</si>
  <si>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</si>
  <si>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</si>
  <si>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</si>
  <si>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</si>
  <si>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</si>
  <si>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</si>
  <si>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</si>
  <si>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</si>
  <si>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</si>
  <si>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</si>
  <si>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</si>
  <si>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</si>
  <si>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</si>
  <si>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</si>
  <si>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</si>
  <si>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</si>
  <si>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</si>
  <si>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</si>
  <si>
    <t>Enter cooling system if present</t>
  </si>
  <si>
    <t xml:space="preserve">Delivered Energy for Space Cooling </t>
  </si>
  <si>
    <t>Change in Electricity factors, Fuel tab, as per description document; Vent tab fix in cell H55 (formula for ac/h for positive input vent from loft); Code tab added Cooling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</si>
</sst>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rgb="FFFFFF99"/>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27">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quotePrefix="1" applyNumberFormat="1" applyFont="1" applyFill="1"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4" borderId="0" xfId="0" applyFill="1"/>
    <xf numFmtId="166" fontId="0" fillId="4" borderId="0" xfId="0" applyNumberFormat="1" applyFill="1"/>
    <xf numFmtId="166" fontId="0" fillId="7" borderId="0" xfId="0" applyNumberFormat="1" applyFill="1"/>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166" fontId="0" fillId="0" borderId="0" xfId="0" quotePrefix="1"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2" fontId="0" fillId="4" borderId="0" xfId="0" applyNumberFormat="1" applyFill="1"/>
    <xf numFmtId="2" fontId="0" fillId="7" borderId="0" xfId="0" applyNumberForma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8" fillId="17" borderId="1" xfId="7" applyFill="1" applyBorder="1" applyAlignment="1" applyProtection="1">
      <alignment horizontal="left" vertical="top" wrapText="1"/>
      <protection locked="0"/>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0" fontId="1" fillId="8" borderId="0" xfId="0" applyFont="1" applyFill="1" applyAlignment="1" applyProtection="1">
      <alignment horizontal="left"/>
      <protection locked="0"/>
    </xf>
    <xf numFmtId="1" fontId="6" fillId="0" borderId="0" xfId="0" applyNumberFormat="1" applyFont="1"/>
    <xf numFmtId="2" fontId="37" fillId="10" borderId="44" xfId="0" applyNumberFormat="1" applyFont="1" applyFill="1" applyBorder="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38" fillId="8" borderId="45"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17" fontId="76" fillId="0" borderId="0" xfId="0" applyNumberFormat="1" applyFont="1" applyAlignment="1">
      <alignment horizontal="center"/>
    </xf>
    <xf numFmtId="0" fontId="1" fillId="23" borderId="0" xfId="0" applyFont="1" applyFill="1" applyAlignment="1" applyProtection="1">
      <alignment horizontal="center"/>
      <protection locked="0"/>
    </xf>
    <xf numFmtId="14" fontId="28" fillId="0" borderId="0" xfId="0" applyNumberFormat="1" applyFont="1" applyAlignment="1">
      <alignment horizontal="left"/>
    </xf>
    <xf numFmtId="0" fontId="16" fillId="0" borderId="45" xfId="0" applyFont="1" applyBorder="1" applyAlignment="1">
      <alignment horizontal="center" vertical="top" wrapText="1"/>
    </xf>
    <xf numFmtId="0" fontId="16" fillId="0" borderId="44" xfId="0" applyFont="1" applyBorder="1" applyAlignment="1">
      <alignment horizontal="center" vertical="top" wrapText="1"/>
    </xf>
    <xf numFmtId="0" fontId="0" fillId="0" borderId="0" xfId="0" applyBorder="1"/>
    <xf numFmtId="0" fontId="28" fillId="0" borderId="0" xfId="0" applyFont="1" applyAlignment="1">
      <alignment vertical="center"/>
    </xf>
    <xf numFmtId="0" fontId="28" fillId="0" borderId="0" xfId="0" applyFont="1" applyAlignment="1">
      <alignment horizontal="left" vertical="center" wrapText="1"/>
    </xf>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6" fillId="0" borderId="45" xfId="0" applyFont="1" applyBorder="1" applyAlignment="1">
      <alignment vertical="top" wrapText="1"/>
    </xf>
    <xf numFmtId="0" fontId="0" fillId="0" borderId="45" xfId="0" applyBorder="1" applyAlignment="1"/>
    <xf numFmtId="0" fontId="0" fillId="0" borderId="45" xfId="0" applyBorder="1" applyAlignment="1">
      <alignment vertical="top" wrapText="1"/>
    </xf>
    <xf numFmtId="0" fontId="16" fillId="0" borderId="44" xfId="0" applyFont="1" applyBorder="1" applyAlignment="1">
      <alignment vertical="top" wrapText="1"/>
    </xf>
    <xf numFmtId="0" fontId="0" fillId="0" borderId="44" xfId="0" applyBorder="1" applyAlignment="1"/>
    <xf numFmtId="0" fontId="0" fillId="0" borderId="44" xfId="0" applyBorder="1" applyAlignment="1">
      <alignment vertical="top" wrapText="1"/>
    </xf>
    <xf numFmtId="0" fontId="16" fillId="0" borderId="1" xfId="0" applyFont="1" applyBorder="1" applyAlignment="1">
      <alignment horizontal="center" vertical="top"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3" fontId="1" fillId="5" borderId="0" xfId="0" applyNumberFormat="1" applyFont="1" applyFill="1" applyAlignment="1" applyProtection="1">
      <protection locked="0"/>
    </xf>
    <xf numFmtId="0" fontId="0" fillId="0" borderId="0" xfId="0" applyAlignment="1"/>
    <xf numFmtId="0" fontId="1" fillId="5" borderId="6" xfId="0" applyFont="1" applyFill="1" applyBorder="1" applyAlignment="1" applyProtection="1">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2" fontId="79" fillId="19" borderId="47" xfId="0" applyNumberFormat="1" applyFont="1" applyFill="1" applyBorder="1" applyAlignment="1">
      <alignment horizontal="left" vertical="center" wrapText="1"/>
    </xf>
    <xf numFmtId="0" fontId="73" fillId="0" borderId="0" xfId="0" applyFont="1" applyAlignment="1">
      <alignment horizontal="left" wrapText="1"/>
    </xf>
    <xf numFmtId="0" fontId="61" fillId="0" borderId="0" xfId="0" applyFont="1" applyAlignment="1">
      <alignment horizontal="left"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58.941521433928571</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243.34269230769235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498.42963737984576</c:v>
                </c:pt>
                <c:pt idx="1">
                  <c:v>491.23306494816745</c:v>
                </c:pt>
                <c:pt idx="2">
                  <c:v>461.26631696813627</c:v>
                </c:pt>
                <c:pt idx="3">
                  <c:v>400.86849576528624</c:v>
                </c:pt>
                <c:pt idx="4">
                  <c:v>286.49243051519085</c:v>
                </c:pt>
                <c:pt idx="5">
                  <c:v>198.56941007525404</c:v>
                </c:pt>
                <c:pt idx="6">
                  <c:v>130.42049577431223</c:v>
                </c:pt>
                <c:pt idx="7">
                  <c:v>151.38349571815414</c:v>
                </c:pt>
                <c:pt idx="8">
                  <c:v>266.35165682079872</c:v>
                </c:pt>
                <c:pt idx="9">
                  <c:v>425.6992079348791</c:v>
                </c:pt>
                <c:pt idx="10">
                  <c:v>490.57818068402906</c:v>
                </c:pt>
                <c:pt idx="11">
                  <c:v>498.12235356630106</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154.50820375318725</c:v>
                </c:pt>
                <c:pt idx="1">
                  <c:v>304.2352383898189</c:v>
                </c:pt>
                <c:pt idx="2">
                  <c:v>490.54275073034358</c:v>
                </c:pt>
                <c:pt idx="3">
                  <c:v>632.49657716429408</c:v>
                </c:pt>
                <c:pt idx="4">
                  <c:v>582.06257119672637</c:v>
                </c:pt>
                <c:pt idx="5">
                  <c:v>407.16569905099124</c:v>
                </c:pt>
                <c:pt idx="6">
                  <c:v>247.08491182508453</c:v>
                </c:pt>
                <c:pt idx="7">
                  <c:v>260.47224291767634</c:v>
                </c:pt>
                <c:pt idx="8">
                  <c:v>350.40181453472536</c:v>
                </c:pt>
                <c:pt idx="9">
                  <c:v>352.84666023821563</c:v>
                </c:pt>
                <c:pt idx="10">
                  <c:v>193.4041425669416</c:v>
                </c:pt>
                <c:pt idx="11">
                  <c:v>129.55523537886785</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911.42135289925068</c:v>
                </c:pt>
                <c:pt idx="1">
                  <c:v>745.62904394288853</c:v>
                </c:pt>
                <c:pt idx="2">
                  <c:v>414.82442894682401</c:v>
                </c:pt>
                <c:pt idx="3">
                  <c:v>182.06641983156214</c:v>
                </c:pt>
                <c:pt idx="4">
                  <c:v>32.84155990519821</c:v>
                </c:pt>
                <c:pt idx="5">
                  <c:v>4.8883680982521582</c:v>
                </c:pt>
                <c:pt idx="6">
                  <c:v>0.49960211100631113</c:v>
                </c:pt>
                <c:pt idx="7">
                  <c:v>1.0420412016869136</c:v>
                </c:pt>
                <c:pt idx="8">
                  <c:v>17.131852620382688</c:v>
                </c:pt>
                <c:pt idx="9">
                  <c:v>192.63623369824893</c:v>
                </c:pt>
                <c:pt idx="10">
                  <c:v>624.49655651580974</c:v>
                </c:pt>
                <c:pt idx="11">
                  <c:v>855.26514145718227</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3398.9805179622181</c:v>
                </c:pt>
                <c:pt idx="1">
                  <c:v>0</c:v>
                </c:pt>
                <c:pt idx="2">
                  <c:v>2998.3258432545445</c:v>
                </c:pt>
                <c:pt idx="3">
                  <c:v>0</c:v>
                </c:pt>
                <c:pt idx="4">
                  <c:v>0</c:v>
                </c:pt>
                <c:pt idx="5">
                  <c:v>169.75</c:v>
                </c:pt>
                <c:pt idx="6">
                  <c:v>431.40028937145223</c:v>
                </c:pt>
                <c:pt idx="7">
                  <c:v>0</c:v>
                </c:pt>
                <c:pt idx="8">
                  <c:v>0</c:v>
                </c:pt>
                <c:pt idx="9">
                  <c:v>-2584.75</c:v>
                </c:pt>
                <c:pt idx="10">
                  <c:v>0</c:v>
                </c:pt>
                <c:pt idx="11">
                  <c:v>0</c:v>
                </c:pt>
                <c:pt idx="12">
                  <c:v>0</c:v>
                </c:pt>
                <c:pt idx="13">
                  <c:v>4413.7066505882149</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25476" y="1474258"/>
          <a:ext cx="3388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A6" sqref="A6"/>
    </sheetView>
  </sheetViews>
  <sheetFormatPr defaultRowHeight="12.5"/>
  <cols>
    <col min="1" max="1" width="11.1796875" customWidth="1"/>
    <col min="2" max="2" width="13.54296875" customWidth="1"/>
    <col min="3" max="3" width="85.453125" customWidth="1"/>
    <col min="4" max="4" width="35.26953125" customWidth="1"/>
    <col min="5" max="6" width="34.81640625" customWidth="1"/>
    <col min="8" max="9" width="60.453125" customWidth="1"/>
  </cols>
  <sheetData>
    <row r="1" spans="1:9" s="87" customFormat="1" ht="13">
      <c r="A1" s="628" t="s">
        <v>0</v>
      </c>
      <c r="B1" s="628" t="s">
        <v>1</v>
      </c>
      <c r="C1" s="628" t="s">
        <v>2</v>
      </c>
      <c r="D1" s="628" t="s">
        <v>3</v>
      </c>
      <c r="E1" s="628" t="s">
        <v>4</v>
      </c>
    </row>
    <row r="2" spans="1:9" s="87" customFormat="1">
      <c r="A2" s="626"/>
      <c r="B2" s="87" t="s">
        <v>5</v>
      </c>
      <c r="C2" s="87" t="s">
        <v>6</v>
      </c>
      <c r="D2" s="626"/>
      <c r="E2" s="626"/>
    </row>
    <row r="3" spans="1:9" s="87" customFormat="1">
      <c r="A3" s="626"/>
      <c r="B3" s="87" t="s">
        <v>7</v>
      </c>
      <c r="C3" s="87" t="s">
        <v>8</v>
      </c>
      <c r="D3" s="626"/>
      <c r="E3" s="626"/>
    </row>
    <row r="4" spans="1:9" s="87" customFormat="1">
      <c r="A4" s="629">
        <v>44551</v>
      </c>
      <c r="B4" s="87" t="s">
        <v>9</v>
      </c>
      <c r="C4" s="87" t="s">
        <v>10</v>
      </c>
      <c r="D4" s="626" t="s">
        <v>11</v>
      </c>
      <c r="E4" s="626" t="s">
        <v>11</v>
      </c>
    </row>
    <row r="5" spans="1:9" ht="25">
      <c r="A5" s="663">
        <v>44957</v>
      </c>
      <c r="B5" s="667" t="s">
        <v>12</v>
      </c>
      <c r="C5" s="668" t="s">
        <v>1663</v>
      </c>
      <c r="D5" s="87" t="s">
        <v>13</v>
      </c>
      <c r="E5" s="626" t="s">
        <v>14</v>
      </c>
    </row>
    <row r="9" spans="1:9" ht="13" thickBot="1">
      <c r="F9" s="115" t="s">
        <v>15</v>
      </c>
    </row>
    <row r="10" spans="1:9" ht="15" thickBot="1">
      <c r="A10" s="606" t="s">
        <v>16</v>
      </c>
      <c r="B10" s="669" t="s">
        <v>17</v>
      </c>
      <c r="C10" s="669"/>
      <c r="F10" s="640" t="s">
        <v>18</v>
      </c>
      <c r="G10" s="641" t="s">
        <v>19</v>
      </c>
      <c r="H10" s="642" t="s">
        <v>20</v>
      </c>
      <c r="I10" s="642" t="s">
        <v>21</v>
      </c>
    </row>
    <row r="11" spans="1:9" ht="15" thickBot="1">
      <c r="A11" s="606"/>
      <c r="B11" s="606" t="s">
        <v>18</v>
      </c>
      <c r="C11" s="606" t="s">
        <v>22</v>
      </c>
      <c r="F11" s="643" t="s">
        <v>23</v>
      </c>
      <c r="G11" s="644" t="s">
        <v>24</v>
      </c>
      <c r="H11" s="645" t="s">
        <v>25</v>
      </c>
      <c r="I11" s="645" t="s">
        <v>26</v>
      </c>
    </row>
    <row r="12" spans="1:9" ht="58.5" thickBot="1">
      <c r="A12" s="115" t="s">
        <v>27</v>
      </c>
      <c r="B12" s="115" t="s">
        <v>28</v>
      </c>
      <c r="C12" s="115" t="s">
        <v>29</v>
      </c>
      <c r="F12" s="643" t="s">
        <v>23</v>
      </c>
      <c r="G12" s="646" t="s">
        <v>30</v>
      </c>
      <c r="H12" s="645" t="s">
        <v>31</v>
      </c>
      <c r="I12" s="647" t="s">
        <v>32</v>
      </c>
    </row>
    <row r="13" spans="1:9" ht="58.5" thickBot="1">
      <c r="A13" s="115" t="s">
        <v>27</v>
      </c>
      <c r="B13" s="115" t="s">
        <v>33</v>
      </c>
      <c r="C13" s="115" t="s">
        <v>34</v>
      </c>
      <c r="F13" s="643" t="s">
        <v>23</v>
      </c>
      <c r="G13" s="646" t="s">
        <v>35</v>
      </c>
      <c r="H13" s="645" t="s">
        <v>36</v>
      </c>
      <c r="I13" s="647" t="s">
        <v>37</v>
      </c>
    </row>
    <row r="14" spans="1:9" ht="58.5" thickBot="1">
      <c r="A14" s="115" t="s">
        <v>27</v>
      </c>
      <c r="B14" s="115" t="s">
        <v>33</v>
      </c>
      <c r="C14" s="115" t="s">
        <v>38</v>
      </c>
      <c r="F14" s="643" t="s">
        <v>23</v>
      </c>
      <c r="G14" s="646" t="s">
        <v>39</v>
      </c>
      <c r="H14" s="647" t="s">
        <v>40</v>
      </c>
      <c r="I14" s="647" t="s">
        <v>41</v>
      </c>
    </row>
    <row r="15" spans="1:9" ht="58.5" thickBot="1">
      <c r="A15" s="115" t="s">
        <v>27</v>
      </c>
      <c r="B15" s="115" t="s">
        <v>33</v>
      </c>
      <c r="C15" s="115" t="s">
        <v>42</v>
      </c>
      <c r="F15" s="643" t="s">
        <v>23</v>
      </c>
      <c r="G15" s="646" t="s">
        <v>39</v>
      </c>
      <c r="H15" s="645" t="s">
        <v>43</v>
      </c>
      <c r="I15" s="647" t="s">
        <v>44</v>
      </c>
    </row>
    <row r="16" spans="1:9" ht="58.5" thickBot="1">
      <c r="A16" s="115" t="s">
        <v>27</v>
      </c>
      <c r="B16" s="115" t="s">
        <v>45</v>
      </c>
      <c r="C16" s="115" t="s">
        <v>46</v>
      </c>
      <c r="F16" s="648" t="s">
        <v>23</v>
      </c>
      <c r="G16" s="649" t="s">
        <v>47</v>
      </c>
      <c r="H16" s="650" t="s">
        <v>48</v>
      </c>
      <c r="I16" s="650" t="s">
        <v>49</v>
      </c>
    </row>
    <row r="17" spans="1:9" ht="15" thickBot="1">
      <c r="A17" s="115" t="s">
        <v>27</v>
      </c>
      <c r="B17" s="115" t="s">
        <v>45</v>
      </c>
      <c r="C17" s="115" t="s">
        <v>50</v>
      </c>
      <c r="F17" s="648" t="s">
        <v>23</v>
      </c>
      <c r="G17" s="649" t="s">
        <v>51</v>
      </c>
      <c r="H17" s="651" t="s">
        <v>52</v>
      </c>
      <c r="I17" s="651" t="s">
        <v>53</v>
      </c>
    </row>
    <row r="18" spans="1:9" ht="15" thickBot="1">
      <c r="A18" s="115" t="s">
        <v>27</v>
      </c>
      <c r="B18" s="115" t="s">
        <v>45</v>
      </c>
      <c r="C18" s="115" t="s">
        <v>54</v>
      </c>
      <c r="F18" s="648" t="s">
        <v>23</v>
      </c>
      <c r="G18" s="649" t="s">
        <v>55</v>
      </c>
      <c r="H18" s="651" t="s">
        <v>56</v>
      </c>
      <c r="I18" s="651" t="s">
        <v>57</v>
      </c>
    </row>
    <row r="19" spans="1:9" ht="15" thickBot="1">
      <c r="A19" s="115" t="s">
        <v>27</v>
      </c>
      <c r="B19" s="115" t="s">
        <v>58</v>
      </c>
      <c r="C19" s="115" t="s">
        <v>59</v>
      </c>
      <c r="F19" s="652" t="s">
        <v>23</v>
      </c>
      <c r="G19" s="653" t="s">
        <v>60</v>
      </c>
      <c r="H19" s="654" t="s">
        <v>25</v>
      </c>
      <c r="I19" s="654" t="s">
        <v>26</v>
      </c>
    </row>
    <row r="20" spans="1:9" ht="15" thickBot="1">
      <c r="F20" s="648" t="s">
        <v>23</v>
      </c>
      <c r="G20" s="649" t="s">
        <v>61</v>
      </c>
      <c r="H20" s="651" t="s">
        <v>62</v>
      </c>
      <c r="I20" s="651" t="s">
        <v>63</v>
      </c>
    </row>
    <row r="21" spans="1:9" ht="15" thickBot="1">
      <c r="F21" s="648" t="s">
        <v>23</v>
      </c>
      <c r="G21" s="649" t="s">
        <v>64</v>
      </c>
      <c r="H21" s="651" t="s">
        <v>65</v>
      </c>
      <c r="I21" s="651" t="s">
        <v>66</v>
      </c>
    </row>
    <row r="22" spans="1:9" ht="15" thickBot="1">
      <c r="F22" s="648" t="s">
        <v>23</v>
      </c>
      <c r="G22" s="649" t="s">
        <v>67</v>
      </c>
      <c r="H22" s="651" t="s">
        <v>68</v>
      </c>
      <c r="I22" s="651" t="s">
        <v>69</v>
      </c>
    </row>
    <row r="23" spans="1:9" ht="17" thickBot="1">
      <c r="F23" s="648" t="s">
        <v>23</v>
      </c>
      <c r="G23" s="649" t="s">
        <v>70</v>
      </c>
      <c r="H23" s="651" t="s">
        <v>71</v>
      </c>
      <c r="I23" s="651" t="s">
        <v>72</v>
      </c>
    </row>
    <row r="24" spans="1:9" ht="15" thickBot="1">
      <c r="F24" s="648" t="s">
        <v>23</v>
      </c>
      <c r="G24" s="649" t="s">
        <v>73</v>
      </c>
      <c r="H24" s="651" t="s">
        <v>74</v>
      </c>
      <c r="I24" s="651" t="s">
        <v>75</v>
      </c>
    </row>
    <row r="25" spans="1:9" ht="15" thickBot="1">
      <c r="F25" s="648" t="s">
        <v>76</v>
      </c>
      <c r="G25" s="649" t="s">
        <v>77</v>
      </c>
      <c r="H25" s="651" t="s">
        <v>78</v>
      </c>
      <c r="I25" s="651" t="s">
        <v>79</v>
      </c>
    </row>
    <row r="26" spans="1:9" ht="15" thickBot="1">
      <c r="F26" s="648" t="s">
        <v>76</v>
      </c>
      <c r="G26" s="649" t="s">
        <v>80</v>
      </c>
      <c r="H26" s="651" t="s">
        <v>81</v>
      </c>
      <c r="I26" s="651" t="s">
        <v>78</v>
      </c>
    </row>
    <row r="27" spans="1:9" ht="15" thickBot="1">
      <c r="F27" s="648" t="s">
        <v>76</v>
      </c>
      <c r="G27" s="649" t="s">
        <v>82</v>
      </c>
      <c r="H27" s="651" t="s">
        <v>83</v>
      </c>
      <c r="I27" s="651" t="s">
        <v>81</v>
      </c>
    </row>
    <row r="28" spans="1:9" ht="15" thickBot="1">
      <c r="F28" s="652" t="s">
        <v>76</v>
      </c>
      <c r="G28" s="653" t="s">
        <v>84</v>
      </c>
      <c r="H28" s="654" t="s">
        <v>85</v>
      </c>
      <c r="I28" s="654" t="s">
        <v>86</v>
      </c>
    </row>
    <row r="29" spans="1:9" ht="15" thickBot="1">
      <c r="F29" s="648" t="s">
        <v>76</v>
      </c>
      <c r="G29" s="649" t="s">
        <v>87</v>
      </c>
      <c r="H29" s="651" t="s">
        <v>88</v>
      </c>
      <c r="I29" s="654" t="s">
        <v>89</v>
      </c>
    </row>
    <row r="30" spans="1:9" ht="15" thickBot="1">
      <c r="F30" s="648" t="s">
        <v>76</v>
      </c>
      <c r="G30" s="649" t="s">
        <v>90</v>
      </c>
      <c r="H30" s="651" t="s">
        <v>91</v>
      </c>
      <c r="I30" s="654" t="s">
        <v>92</v>
      </c>
    </row>
    <row r="31" spans="1:9" ht="15" thickBot="1">
      <c r="F31" s="648" t="s">
        <v>76</v>
      </c>
      <c r="G31" s="649" t="s">
        <v>93</v>
      </c>
      <c r="H31" s="651" t="s">
        <v>94</v>
      </c>
      <c r="I31" s="654" t="s">
        <v>95</v>
      </c>
    </row>
    <row r="32" spans="1:9" ht="15" thickBot="1">
      <c r="F32" s="648" t="s">
        <v>76</v>
      </c>
      <c r="G32" s="649" t="s">
        <v>96</v>
      </c>
      <c r="H32" s="654" t="s">
        <v>97</v>
      </c>
      <c r="I32" s="654" t="s">
        <v>98</v>
      </c>
    </row>
    <row r="33" spans="6:9" ht="15" thickBot="1">
      <c r="F33" s="648" t="s">
        <v>76</v>
      </c>
      <c r="G33" s="649" t="s">
        <v>99</v>
      </c>
      <c r="H33" s="651" t="s">
        <v>100</v>
      </c>
      <c r="I33" s="654" t="s">
        <v>101</v>
      </c>
    </row>
    <row r="34" spans="6:9" ht="15" thickBot="1">
      <c r="F34" s="648" t="s">
        <v>76</v>
      </c>
      <c r="G34" s="649" t="s">
        <v>102</v>
      </c>
      <c r="H34" s="651" t="s">
        <v>103</v>
      </c>
      <c r="I34" s="654" t="s">
        <v>104</v>
      </c>
    </row>
    <row r="35" spans="6:9" ht="15" thickBot="1">
      <c r="F35" s="648" t="s">
        <v>76</v>
      </c>
      <c r="G35" s="649" t="s">
        <v>105</v>
      </c>
      <c r="H35" s="651" t="s">
        <v>106</v>
      </c>
      <c r="I35" s="654" t="s">
        <v>107</v>
      </c>
    </row>
    <row r="36" spans="6:9" ht="15" thickBot="1">
      <c r="F36" s="648" t="s">
        <v>76</v>
      </c>
      <c r="G36" s="649" t="s">
        <v>108</v>
      </c>
      <c r="H36" s="651" t="s">
        <v>109</v>
      </c>
      <c r="I36" s="651" t="s">
        <v>110</v>
      </c>
    </row>
    <row r="37" spans="6:9" ht="15" thickBot="1">
      <c r="F37" s="648" t="s">
        <v>76</v>
      </c>
      <c r="G37" s="649" t="s">
        <v>111</v>
      </c>
      <c r="H37" s="651" t="s">
        <v>112</v>
      </c>
      <c r="I37" s="651" t="s">
        <v>109</v>
      </c>
    </row>
    <row r="38" spans="6:9" ht="15" thickBot="1">
      <c r="F38" s="648" t="s">
        <v>76</v>
      </c>
      <c r="G38" s="649" t="s">
        <v>113</v>
      </c>
      <c r="H38" s="651" t="s">
        <v>114</v>
      </c>
      <c r="I38" s="651" t="s">
        <v>112</v>
      </c>
    </row>
    <row r="39" spans="6:9" ht="15" thickBot="1">
      <c r="F39" s="648" t="s">
        <v>76</v>
      </c>
      <c r="G39" s="649" t="s">
        <v>115</v>
      </c>
      <c r="H39" s="651" t="s">
        <v>116</v>
      </c>
      <c r="I39" s="651" t="s">
        <v>117</v>
      </c>
    </row>
    <row r="40" spans="6:9" ht="15" thickBot="1">
      <c r="F40" s="648" t="s">
        <v>76</v>
      </c>
      <c r="G40" s="649" t="s">
        <v>118</v>
      </c>
      <c r="H40" s="651" t="s">
        <v>119</v>
      </c>
      <c r="I40" s="651" t="s">
        <v>116</v>
      </c>
    </row>
    <row r="41" spans="6:9" ht="15" thickBot="1">
      <c r="F41" s="648" t="s">
        <v>76</v>
      </c>
      <c r="G41" s="649" t="s">
        <v>120</v>
      </c>
      <c r="H41" s="651" t="s">
        <v>121</v>
      </c>
      <c r="I41" s="651" t="s">
        <v>119</v>
      </c>
    </row>
    <row r="42" spans="6:9" ht="15" thickBot="1">
      <c r="F42" s="648" t="s">
        <v>76</v>
      </c>
      <c r="G42" s="649" t="s">
        <v>122</v>
      </c>
      <c r="H42" s="651" t="s">
        <v>123</v>
      </c>
      <c r="I42" s="651" t="s">
        <v>124</v>
      </c>
    </row>
    <row r="43" spans="6:9" ht="14.5">
      <c r="F43" s="655" t="s">
        <v>76</v>
      </c>
      <c r="G43" s="656" t="s">
        <v>125</v>
      </c>
      <c r="H43" s="657" t="s">
        <v>126</v>
      </c>
      <c r="I43" s="657" t="s">
        <v>124</v>
      </c>
    </row>
    <row r="44" spans="6:9" ht="43.5">
      <c r="F44" s="658" t="s">
        <v>76</v>
      </c>
      <c r="G44" s="659" t="s">
        <v>127</v>
      </c>
      <c r="H44" s="360"/>
      <c r="I44" s="660" t="s">
        <v>128</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zoomScale="110" zoomScaleNormal="110" workbookViewId="0">
      <selection activeCell="E16" sqref="E16"/>
    </sheetView>
  </sheetViews>
  <sheetFormatPr defaultColWidth="9.1796875" defaultRowHeight="12.5"/>
  <cols>
    <col min="1" max="1" width="12.1796875" customWidth="1"/>
    <col min="4" max="4" width="14.54296875" customWidth="1"/>
    <col min="5" max="5" width="17.54296875" customWidth="1"/>
    <col min="12" max="12" width="9.1796875" style="510" customWidth="1"/>
    <col min="16" max="16" width="39.54296875" bestFit="1" customWidth="1"/>
    <col min="17" max="17" width="24" customWidth="1"/>
  </cols>
  <sheetData>
    <row r="1" spans="1:12" s="1" customFormat="1" ht="18" customHeight="1">
      <c r="A1" s="12" t="s">
        <v>655</v>
      </c>
      <c r="B1" s="14"/>
      <c r="C1" s="381"/>
      <c r="D1" s="381"/>
      <c r="E1" s="381"/>
      <c r="F1" s="15"/>
      <c r="G1" s="15"/>
      <c r="H1" s="381"/>
      <c r="I1" s="381"/>
      <c r="J1" s="154"/>
      <c r="L1" s="503" t="s">
        <v>270</v>
      </c>
    </row>
    <row r="2" spans="1:12">
      <c r="A2" t="s">
        <v>656</v>
      </c>
    </row>
    <row r="3" spans="1:12" ht="13.5" customHeight="1"/>
    <row r="4" spans="1:12" ht="18.5">
      <c r="A4" t="s">
        <v>657</v>
      </c>
      <c r="G4" s="206" t="s">
        <v>658</v>
      </c>
      <c r="H4">
        <f>11.2*59.73*(tfa*N)^0.4714</f>
        <v>10773.417734119581</v>
      </c>
      <c r="I4" s="115" t="s">
        <v>659</v>
      </c>
    </row>
    <row r="5" spans="1:12">
      <c r="G5" s="44"/>
      <c r="H5" s="44"/>
    </row>
    <row r="6" spans="1:12" ht="18.5">
      <c r="A6" s="115" t="s">
        <v>660</v>
      </c>
      <c r="G6" s="206" t="s">
        <v>661</v>
      </c>
      <c r="H6">
        <f>2/3*H4*G54</f>
        <v>6925.4599383166333</v>
      </c>
      <c r="I6" s="115" t="s">
        <v>659</v>
      </c>
    </row>
    <row r="7" spans="1:12">
      <c r="G7" s="44"/>
      <c r="H7" s="44"/>
    </row>
    <row r="8" spans="1:12">
      <c r="A8" s="115" t="s">
        <v>662</v>
      </c>
      <c r="G8" t="s">
        <v>663</v>
      </c>
      <c r="H8">
        <f>330*tfa</f>
        <v>41580</v>
      </c>
      <c r="I8" t="s">
        <v>664</v>
      </c>
    </row>
    <row r="9" spans="1:12">
      <c r="G9" s="44"/>
      <c r="H9" s="44"/>
    </row>
    <row r="10" spans="1:12" ht="13">
      <c r="A10" s="3" t="s">
        <v>665</v>
      </c>
      <c r="G10" s="44"/>
      <c r="H10" s="44"/>
    </row>
    <row r="11" spans="1:12" ht="14.5">
      <c r="A11" s="3"/>
      <c r="B11" s="115" t="s">
        <v>666</v>
      </c>
      <c r="E11" s="200" t="s">
        <v>245</v>
      </c>
      <c r="G11" s="44"/>
      <c r="H11" s="44"/>
    </row>
    <row r="12" spans="1:12">
      <c r="A12" s="116"/>
      <c r="G12" s="44"/>
      <c r="H12" s="44"/>
    </row>
    <row r="13" spans="1:12">
      <c r="B13" s="115" t="s">
        <v>667</v>
      </c>
    </row>
    <row r="14" spans="1:12">
      <c r="G14" s="44"/>
      <c r="H14" s="44"/>
    </row>
    <row r="15" spans="1:12" ht="37.5">
      <c r="B15" s="207" t="s">
        <v>668</v>
      </c>
      <c r="C15" s="208" t="s">
        <v>669</v>
      </c>
      <c r="D15" s="189" t="s">
        <v>670</v>
      </c>
      <c r="E15" s="189" t="s">
        <v>671</v>
      </c>
      <c r="F15" s="189" t="s">
        <v>672</v>
      </c>
      <c r="G15" s="189" t="s">
        <v>672</v>
      </c>
      <c r="H15" s="160" t="s">
        <v>673</v>
      </c>
    </row>
    <row r="16" spans="1:12" ht="14.5">
      <c r="B16">
        <v>1</v>
      </c>
      <c r="C16" s="202">
        <v>504</v>
      </c>
      <c r="D16" s="200" t="s">
        <v>245</v>
      </c>
      <c r="E16" s="203" t="s">
        <v>680</v>
      </c>
      <c r="F16" s="204">
        <v>94</v>
      </c>
      <c r="G16" s="44">
        <f>IF(D16="Yes",F16,VLOOKUP(E16,$A$76:$B$80,2,FALSE))</f>
        <v>94</v>
      </c>
      <c r="H16" s="44">
        <f>C16*G16</f>
        <v>47376</v>
      </c>
    </row>
    <row r="17" spans="1:9" ht="14.5">
      <c r="B17">
        <v>2</v>
      </c>
      <c r="C17" s="202"/>
      <c r="D17" s="200" t="s">
        <v>246</v>
      </c>
      <c r="E17" s="203" t="s">
        <v>675</v>
      </c>
      <c r="F17" s="204"/>
      <c r="G17" s="44">
        <f t="shared" ref="G17:G20" si="0">IF(D17="Yes",F17,VLOOKUP(E17,$A$76:$B$80,2,FALSE))</f>
        <v>11.2</v>
      </c>
      <c r="H17" s="44">
        <f t="shared" ref="H17:H20" si="1">C17*G17</f>
        <v>0</v>
      </c>
    </row>
    <row r="18" spans="1:9" ht="14.5">
      <c r="B18">
        <v>3</v>
      </c>
      <c r="C18" s="202"/>
      <c r="D18" s="200" t="s">
        <v>246</v>
      </c>
      <c r="E18" s="203" t="s">
        <v>675</v>
      </c>
      <c r="F18" s="204"/>
      <c r="G18" s="44">
        <f t="shared" si="0"/>
        <v>11.2</v>
      </c>
      <c r="H18" s="44">
        <f t="shared" si="1"/>
        <v>0</v>
      </c>
    </row>
    <row r="19" spans="1:9" ht="14.5">
      <c r="B19">
        <v>4</v>
      </c>
      <c r="C19" s="202"/>
      <c r="D19" s="200" t="s">
        <v>246</v>
      </c>
      <c r="E19" s="203" t="s">
        <v>675</v>
      </c>
      <c r="F19" s="204"/>
      <c r="G19" s="44">
        <f t="shared" si="0"/>
        <v>11.2</v>
      </c>
      <c r="H19" s="44">
        <f t="shared" si="1"/>
        <v>0</v>
      </c>
    </row>
    <row r="20" spans="1:9" ht="14.5">
      <c r="A20" s="116"/>
      <c r="B20">
        <v>5</v>
      </c>
      <c r="C20" s="202"/>
      <c r="D20" s="200" t="s">
        <v>246</v>
      </c>
      <c r="E20" s="203" t="s">
        <v>675</v>
      </c>
      <c r="F20" s="205" t="s">
        <v>206</v>
      </c>
      <c r="G20" s="44">
        <f t="shared" si="0"/>
        <v>11.2</v>
      </c>
      <c r="H20" s="44">
        <f t="shared" si="1"/>
        <v>0</v>
      </c>
    </row>
    <row r="21" spans="1:9">
      <c r="G21" s="44"/>
      <c r="H21" s="44"/>
    </row>
    <row r="22" spans="1:9">
      <c r="C22">
        <f>SUM(C16:C20)</f>
        <v>504</v>
      </c>
      <c r="G22" s="115" t="s">
        <v>676</v>
      </c>
      <c r="H22" s="4">
        <f>IF(E11="Yes",SUM(H16:H20),"")</f>
        <v>47376</v>
      </c>
      <c r="I22" t="s">
        <v>664</v>
      </c>
    </row>
    <row r="23" spans="1:9">
      <c r="G23" s="44"/>
      <c r="H23" s="44"/>
    </row>
    <row r="24" spans="1:9">
      <c r="B24" s="115" t="s">
        <v>677</v>
      </c>
    </row>
    <row r="25" spans="1:9">
      <c r="G25" s="44"/>
      <c r="H25" s="44"/>
    </row>
    <row r="26" spans="1:9" ht="25">
      <c r="C26" s="207" t="s">
        <v>668</v>
      </c>
      <c r="D26" s="208" t="s">
        <v>678</v>
      </c>
      <c r="E26" s="189" t="s">
        <v>671</v>
      </c>
      <c r="F26" s="189" t="s">
        <v>672</v>
      </c>
      <c r="H26" s="160"/>
    </row>
    <row r="27" spans="1:9" ht="14.5">
      <c r="C27">
        <v>1</v>
      </c>
      <c r="D27" s="202">
        <v>0</v>
      </c>
      <c r="E27" s="203" t="s">
        <v>679</v>
      </c>
      <c r="F27" s="44">
        <f>VLOOKUP(E27,$A$76:$B$80,2,FALSE)</f>
        <v>80.5</v>
      </c>
      <c r="H27" s="44"/>
    </row>
    <row r="28" spans="1:9" ht="14.5">
      <c r="C28">
        <v>2</v>
      </c>
      <c r="D28" s="202">
        <v>0</v>
      </c>
      <c r="E28" s="203" t="s">
        <v>680</v>
      </c>
      <c r="F28" s="44">
        <f t="shared" ref="F28:F31" si="2">VLOOKUP(E28,$A$76:$B$80,2,FALSE)</f>
        <v>66.900000000000006</v>
      </c>
      <c r="H28" s="44"/>
    </row>
    <row r="29" spans="1:9" ht="14.5">
      <c r="C29">
        <v>3</v>
      </c>
      <c r="D29" s="202"/>
      <c r="E29" s="203" t="s">
        <v>674</v>
      </c>
      <c r="F29" s="44">
        <f t="shared" si="2"/>
        <v>26.1</v>
      </c>
      <c r="H29" s="44"/>
    </row>
    <row r="30" spans="1:9" ht="14.5">
      <c r="C30">
        <v>4</v>
      </c>
      <c r="D30" s="202"/>
      <c r="E30" s="203" t="s">
        <v>681</v>
      </c>
      <c r="F30" s="44">
        <f t="shared" si="2"/>
        <v>15.7</v>
      </c>
      <c r="H30" s="44"/>
    </row>
    <row r="31" spans="1:9" ht="14.5">
      <c r="A31" s="116"/>
      <c r="C31">
        <v>5</v>
      </c>
      <c r="D31" s="202"/>
      <c r="E31" s="203" t="s">
        <v>675</v>
      </c>
      <c r="F31" s="44">
        <f t="shared" si="2"/>
        <v>11.2</v>
      </c>
      <c r="H31" s="44"/>
    </row>
    <row r="32" spans="1:9">
      <c r="G32" s="44"/>
      <c r="H32" s="44"/>
    </row>
    <row r="33" spans="1:9">
      <c r="D33">
        <f>SUM(D27:D31)</f>
        <v>0</v>
      </c>
      <c r="E33" s="115" t="s">
        <v>682</v>
      </c>
      <c r="F33" t="e">
        <f>(D27/$D$33)*F27+(D28/$D$33)*F28+(D29/$D$33)*F29+(D30/$D$33)*F30+(D31/$D$33)*F31</f>
        <v>#DIV/0!</v>
      </c>
      <c r="G33" s="115" t="s">
        <v>683</v>
      </c>
      <c r="H33" s="4" t="str">
        <f>IF(E11="Yes","",185*tfa)</f>
        <v/>
      </c>
      <c r="I33" t="s">
        <v>664</v>
      </c>
    </row>
    <row r="34" spans="1:9">
      <c r="G34" s="115"/>
      <c r="H34" s="4"/>
    </row>
    <row r="35" spans="1:9">
      <c r="G35" s="115" t="s">
        <v>683</v>
      </c>
      <c r="H35" s="4">
        <f>IF(E11="yes",H22,H33)</f>
        <v>47376</v>
      </c>
      <c r="I35" t="s">
        <v>664</v>
      </c>
    </row>
    <row r="36" spans="1:9">
      <c r="G36" s="115"/>
      <c r="H36" s="4"/>
    </row>
    <row r="37" spans="1:9" ht="18.5">
      <c r="B37" s="115" t="s">
        <v>684</v>
      </c>
      <c r="G37" s="206" t="s">
        <v>685</v>
      </c>
      <c r="H37" s="4">
        <f>H6*H35/H8</f>
        <v>7890.8270812334968</v>
      </c>
      <c r="I37" s="115" t="s">
        <v>659</v>
      </c>
    </row>
    <row r="38" spans="1:9">
      <c r="G38" s="44"/>
      <c r="H38" s="44"/>
    </row>
    <row r="39" spans="1:9" ht="18.5">
      <c r="B39" s="115" t="s">
        <v>686</v>
      </c>
      <c r="G39" s="206" t="s">
        <v>687</v>
      </c>
      <c r="H39" s="4">
        <f>IF(H37&lt;H6/3,H6/3-H37,0)</f>
        <v>0</v>
      </c>
      <c r="I39" s="115" t="s">
        <v>659</v>
      </c>
    </row>
    <row r="40" spans="1:9">
      <c r="G40" s="44"/>
      <c r="H40" s="44"/>
    </row>
    <row r="41" spans="1:9" ht="21">
      <c r="B41" s="115" t="s">
        <v>682</v>
      </c>
      <c r="G41" s="161" t="s">
        <v>688</v>
      </c>
      <c r="H41">
        <f>IF(E11="Yes",H22/(C22),F33)</f>
        <v>94</v>
      </c>
    </row>
    <row r="42" spans="1:9">
      <c r="G42" s="44"/>
      <c r="H42" s="44"/>
    </row>
    <row r="43" spans="1:9">
      <c r="A43" s="116"/>
      <c r="B43" s="115" t="s">
        <v>689</v>
      </c>
      <c r="G43" s="115" t="s">
        <v>690</v>
      </c>
      <c r="H43" s="4">
        <f>IF(H6&lt;H37,H37/H41,H6/H41)</f>
        <v>83.944968949292516</v>
      </c>
      <c r="I43" s="115" t="s">
        <v>691</v>
      </c>
    </row>
    <row r="44" spans="1:9">
      <c r="G44" s="44"/>
      <c r="H44" s="44"/>
    </row>
    <row r="45" spans="1:9">
      <c r="B45" s="115" t="s">
        <v>692</v>
      </c>
      <c r="G45" s="115" t="s">
        <v>693</v>
      </c>
      <c r="H45" s="4">
        <f>H39/21.3</f>
        <v>0</v>
      </c>
      <c r="I45" s="115" t="s">
        <v>691</v>
      </c>
    </row>
    <row r="46" spans="1:9">
      <c r="A46" s="116"/>
      <c r="G46" s="44"/>
      <c r="H46" s="44"/>
    </row>
    <row r="47" spans="1:9">
      <c r="B47" s="115" t="s">
        <v>694</v>
      </c>
      <c r="G47" s="162" t="s">
        <v>695</v>
      </c>
      <c r="H47" s="5">
        <f>1/3*H4*G54/21.3</f>
        <v>162.56948212010874</v>
      </c>
      <c r="I47" s="115" t="s">
        <v>691</v>
      </c>
    </row>
    <row r="48" spans="1:9">
      <c r="G48" s="44"/>
      <c r="H48" s="44"/>
    </row>
    <row r="49" spans="1:16">
      <c r="A49" s="116"/>
      <c r="B49" t="s">
        <v>696</v>
      </c>
      <c r="G49" s="115" t="s">
        <v>697</v>
      </c>
      <c r="H49" s="5">
        <f>SUM(H47+H43+H45)</f>
        <v>246.51445106940128</v>
      </c>
      <c r="I49" s="115" t="s">
        <v>691</v>
      </c>
    </row>
    <row r="50" spans="1:16">
      <c r="G50" s="44"/>
      <c r="H50" s="44"/>
    </row>
    <row r="51" spans="1:16">
      <c r="A51" s="431"/>
      <c r="B51" s="154" t="s">
        <v>698</v>
      </c>
      <c r="C51" s="154"/>
      <c r="G51" s="115" t="s">
        <v>699</v>
      </c>
      <c r="H51" s="5">
        <f>59.73*(tfa*N)^0.4714</f>
        <v>961.91229768924836</v>
      </c>
      <c r="I51" s="115" t="s">
        <v>691</v>
      </c>
    </row>
    <row r="53" spans="1:16">
      <c r="A53" t="s">
        <v>700</v>
      </c>
      <c r="G53" s="50">
        <f>Win!F41</f>
        <v>8.5987999999999995E-2</v>
      </c>
      <c r="H53" s="44"/>
      <c r="L53" s="521">
        <f>Win!P41</f>
        <v>9.8437999999999984E-2</v>
      </c>
    </row>
    <row r="54" spans="1:16">
      <c r="A54" t="s">
        <v>701</v>
      </c>
      <c r="G54" s="50">
        <f>IF(G53&gt;0.095,0.96,52.2*G53^2-9.94*G53+1.433)</f>
        <v>0.96424274671680021</v>
      </c>
      <c r="H54" s="44"/>
      <c r="L54" s="521">
        <f>IF(L53&gt;0.095,0.96,52.2*L53^2-9.94*L53+1.433)</f>
        <v>0.96</v>
      </c>
    </row>
    <row r="55" spans="1:16">
      <c r="G55" s="44"/>
      <c r="H55" s="44"/>
    </row>
    <row r="56" spans="1:16">
      <c r="A56" t="s">
        <v>696</v>
      </c>
      <c r="G56" s="432">
        <f>H49</f>
        <v>246.51445106940128</v>
      </c>
      <c r="H56" s="44"/>
      <c r="L56" s="519">
        <f>H51*L54</f>
        <v>923.43580578167837</v>
      </c>
    </row>
    <row r="57" spans="1:16">
      <c r="G57" s="44"/>
      <c r="H57" s="44"/>
    </row>
    <row r="58" spans="1:16">
      <c r="A58" t="s">
        <v>702</v>
      </c>
      <c r="G58" s="49">
        <f>G56*0.85*0.9</f>
        <v>188.58355506809198</v>
      </c>
      <c r="H58" s="44"/>
      <c r="L58" s="522">
        <f>L56*0.85*0.9</f>
        <v>706.42839142298396</v>
      </c>
      <c r="P58" s="363" t="s">
        <v>206</v>
      </c>
    </row>
    <row r="59" spans="1:16">
      <c r="E59" t="s">
        <v>622</v>
      </c>
      <c r="G59" s="51">
        <f>G58*1000/(24*HsLength)</f>
        <v>32.33600052607887</v>
      </c>
      <c r="H59" s="44"/>
      <c r="L59" s="522">
        <f>L58*1000/(24*HsLength)</f>
        <v>121.1296967460535</v>
      </c>
    </row>
    <row r="60" spans="1:16">
      <c r="G60" s="4"/>
    </row>
    <row r="61" spans="1:16">
      <c r="G61" s="4"/>
    </row>
    <row r="62" spans="1:16" s="1" customFormat="1" ht="18" customHeight="1">
      <c r="A62" s="12" t="s">
        <v>703</v>
      </c>
      <c r="B62" s="14"/>
      <c r="C62" s="381"/>
      <c r="D62" s="381"/>
      <c r="E62" s="381"/>
      <c r="F62" s="15"/>
      <c r="G62" s="15"/>
      <c r="H62" s="381"/>
      <c r="I62" s="381"/>
      <c r="J62" s="154"/>
      <c r="L62" s="516"/>
    </row>
    <row r="63" spans="1:16" ht="13">
      <c r="B63" s="1"/>
      <c r="C63" s="1"/>
      <c r="D63" s="19"/>
      <c r="E63" s="52" t="s">
        <v>622</v>
      </c>
    </row>
    <row r="64" spans="1:16" ht="13">
      <c r="A64" s="1" t="s">
        <v>655</v>
      </c>
      <c r="B64" s="1"/>
      <c r="C64" s="1"/>
      <c r="D64" s="19"/>
      <c r="E64" s="53">
        <f>Light!G59</f>
        <v>32.33600052607887</v>
      </c>
      <c r="L64" s="522">
        <f>L59</f>
        <v>121.1296967460535</v>
      </c>
    </row>
    <row r="65" spans="1:18" ht="13">
      <c r="A65" s="1" t="s">
        <v>516</v>
      </c>
      <c r="B65" s="1"/>
      <c r="C65" s="1"/>
      <c r="D65" s="19"/>
      <c r="E65" s="53">
        <f>WhGains</f>
        <v>123.97760725604934</v>
      </c>
      <c r="L65" s="522">
        <f>WH!Q103</f>
        <v>192.68806731498071</v>
      </c>
    </row>
    <row r="66" spans="1:18" ht="13">
      <c r="A66" s="1" t="s">
        <v>704</v>
      </c>
      <c r="B66" s="1"/>
      <c r="C66" s="1"/>
      <c r="D66" s="19"/>
      <c r="E66" s="53">
        <f>50*N</f>
        <v>144.19050818056564</v>
      </c>
      <c r="L66" s="522"/>
      <c r="P66" s="363"/>
    </row>
    <row r="67" spans="1:18" ht="13">
      <c r="A67" s="1" t="s">
        <v>705</v>
      </c>
      <c r="B67" s="1"/>
      <c r="C67" s="1"/>
      <c r="D67" s="19"/>
      <c r="E67" s="53">
        <f>37+1.2*tfa+19*N</f>
        <v>242.99239310861492</v>
      </c>
      <c r="L67" s="522"/>
      <c r="P67" s="363"/>
      <c r="R67" s="115"/>
    </row>
    <row r="68" spans="1:18" ht="13">
      <c r="A68" s="1" t="s">
        <v>706</v>
      </c>
      <c r="B68" s="1"/>
      <c r="C68" s="1"/>
      <c r="D68" s="19"/>
      <c r="E68" s="53">
        <f>Vent!G48</f>
        <v>0</v>
      </c>
      <c r="L68" s="510">
        <v>0</v>
      </c>
      <c r="P68" s="363"/>
    </row>
    <row r="69" spans="1:18">
      <c r="A69" t="s">
        <v>707</v>
      </c>
      <c r="E69" s="433">
        <f>-(14+9*N)</f>
        <v>-39.954291472501815</v>
      </c>
      <c r="L69" s="522"/>
      <c r="P69" s="363"/>
    </row>
    <row r="70" spans="1:18" ht="13">
      <c r="A70" s="1" t="s">
        <v>708</v>
      </c>
      <c r="B70" s="1"/>
      <c r="C70" s="1"/>
      <c r="D70" s="20"/>
      <c r="E70" s="54">
        <f>SUM(E64:E69)</f>
        <v>503.54221759880693</v>
      </c>
      <c r="L70" s="522">
        <f>SUM(L64,L65,E66,E67,L68,E69)</f>
        <v>661.04637387771299</v>
      </c>
    </row>
    <row r="74" spans="1:18" ht="13">
      <c r="A74" s="194" t="s">
        <v>709</v>
      </c>
      <c r="B74" s="195"/>
      <c r="C74" s="195"/>
      <c r="D74" s="195"/>
      <c r="E74" s="195"/>
      <c r="F74" s="195"/>
    </row>
    <row r="75" spans="1:18">
      <c r="A75" s="198" t="s">
        <v>710</v>
      </c>
      <c r="B75" s="198" t="s">
        <v>711</v>
      </c>
      <c r="C75" s="195"/>
      <c r="D75" s="195"/>
      <c r="E75" s="195"/>
      <c r="F75" s="195"/>
    </row>
    <row r="76" spans="1:18">
      <c r="A76" s="198" t="s">
        <v>679</v>
      </c>
      <c r="B76" s="195">
        <v>80.5</v>
      </c>
      <c r="C76" s="195"/>
      <c r="D76" s="195"/>
      <c r="E76" s="195"/>
      <c r="F76" s="195"/>
    </row>
    <row r="77" spans="1:18">
      <c r="A77" s="198" t="s">
        <v>680</v>
      </c>
      <c r="B77" s="195">
        <v>66.900000000000006</v>
      </c>
      <c r="C77" s="195"/>
      <c r="D77" s="195"/>
      <c r="E77" s="195"/>
      <c r="F77" s="195"/>
    </row>
    <row r="78" spans="1:18">
      <c r="A78" s="198" t="s">
        <v>674</v>
      </c>
      <c r="B78" s="198">
        <v>26.1</v>
      </c>
      <c r="C78" s="195"/>
      <c r="D78" s="195"/>
      <c r="E78" s="195"/>
      <c r="F78" s="195"/>
    </row>
    <row r="79" spans="1:18">
      <c r="A79" s="198" t="s">
        <v>681</v>
      </c>
      <c r="B79" s="198">
        <v>15.7</v>
      </c>
      <c r="C79" s="195"/>
      <c r="D79" s="195"/>
      <c r="E79" s="195"/>
      <c r="F79" s="195"/>
    </row>
    <row r="80" spans="1:18">
      <c r="A80" s="198" t="s">
        <v>675</v>
      </c>
      <c r="B80" s="198">
        <v>11.2</v>
      </c>
      <c r="C80" s="195"/>
      <c r="D80" s="195"/>
      <c r="E80" s="195"/>
      <c r="F80" s="195"/>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81640625" customWidth="1"/>
    <col min="2" max="2" width="16.453125" customWidth="1"/>
    <col min="16" max="16" width="9.1796875" customWidth="1"/>
    <col min="17" max="28" width="9.1796875" style="510" customWidth="1"/>
  </cols>
  <sheetData>
    <row r="1" spans="1:32" s="1" customFormat="1" ht="18" customHeight="1">
      <c r="A1" s="12" t="s">
        <v>712</v>
      </c>
      <c r="B1" s="14"/>
      <c r="C1" s="381"/>
      <c r="D1" s="381"/>
      <c r="E1" s="381"/>
      <c r="F1" s="15"/>
      <c r="G1" s="15"/>
      <c r="H1" s="381"/>
      <c r="I1" s="381"/>
      <c r="J1" s="381"/>
      <c r="K1" s="381"/>
      <c r="L1" s="381"/>
      <c r="M1" s="381"/>
      <c r="N1" s="11"/>
      <c r="O1" s="11"/>
      <c r="Q1" s="503" t="s">
        <v>270</v>
      </c>
      <c r="R1" s="516"/>
      <c r="S1" s="516"/>
      <c r="T1" s="516"/>
      <c r="U1" s="516"/>
      <c r="V1" s="516"/>
      <c r="W1" s="516"/>
      <c r="X1" s="516"/>
      <c r="Y1" s="516"/>
      <c r="Z1" s="516"/>
      <c r="AA1" s="516"/>
      <c r="AB1" s="516"/>
    </row>
    <row r="2" spans="1:32" s="1" customFormat="1" ht="13">
      <c r="A2" s="3" t="s">
        <v>713</v>
      </c>
      <c r="B2"/>
      <c r="C2"/>
      <c r="D2"/>
      <c r="E2"/>
      <c r="F2"/>
      <c r="G2"/>
      <c r="Q2" s="516"/>
      <c r="R2" s="516"/>
      <c r="S2" s="516"/>
      <c r="T2" s="516"/>
      <c r="U2" s="516"/>
      <c r="V2" s="516"/>
      <c r="W2" s="516"/>
      <c r="X2" s="516"/>
      <c r="Y2" s="516"/>
      <c r="Z2" s="516"/>
      <c r="AA2" s="516"/>
      <c r="AB2" s="516"/>
    </row>
    <row r="3" spans="1:32" s="1" customFormat="1" ht="13">
      <c r="A3" s="1" t="s">
        <v>714</v>
      </c>
      <c r="F3"/>
      <c r="G3" s="55">
        <v>21</v>
      </c>
      <c r="H3" s="42"/>
      <c r="Q3" s="516"/>
      <c r="R3" s="516"/>
      <c r="S3" s="516"/>
      <c r="T3" s="516"/>
      <c r="U3" s="516"/>
      <c r="V3" s="516"/>
      <c r="W3" s="516"/>
      <c r="X3" s="516"/>
      <c r="Y3" s="516"/>
      <c r="Z3" s="516"/>
      <c r="AA3" s="516"/>
      <c r="AB3" s="516"/>
    </row>
    <row r="4" spans="1:32" s="1" customFormat="1" ht="13">
      <c r="A4" s="1" t="s">
        <v>715</v>
      </c>
      <c r="F4"/>
      <c r="G4" s="55">
        <v>18</v>
      </c>
      <c r="H4" s="42"/>
      <c r="Q4" s="516"/>
      <c r="R4" s="516"/>
      <c r="S4" s="516"/>
      <c r="T4" s="516"/>
      <c r="U4" s="516"/>
      <c r="V4" s="516"/>
      <c r="W4" s="516"/>
      <c r="X4" s="516"/>
      <c r="Y4" s="516"/>
      <c r="Z4" s="516"/>
      <c r="AA4" s="516"/>
      <c r="AB4" s="516"/>
      <c r="AF4" s="363" t="s">
        <v>206</v>
      </c>
    </row>
    <row r="5" spans="1:32" s="1" customFormat="1" ht="13">
      <c r="A5" s="1" t="s">
        <v>716</v>
      </c>
      <c r="F5"/>
      <c r="G5" s="83">
        <f>Dim!E13</f>
        <v>0.25</v>
      </c>
      <c r="H5" s="42"/>
      <c r="Q5" s="516"/>
      <c r="R5" s="516"/>
      <c r="S5" s="516"/>
      <c r="T5" s="516"/>
      <c r="U5" s="516"/>
      <c r="V5" s="516"/>
      <c r="W5" s="516"/>
      <c r="X5" s="516"/>
      <c r="Y5" s="516"/>
      <c r="Z5" s="516"/>
      <c r="AA5" s="516"/>
      <c r="AB5" s="516"/>
    </row>
    <row r="6" spans="1:32" s="1" customFormat="1" ht="13">
      <c r="A6" s="1" t="s">
        <v>717</v>
      </c>
      <c r="F6"/>
      <c r="G6" s="56">
        <f>G5*G3+(1-G5)*G4</f>
        <v>18.75</v>
      </c>
      <c r="H6" s="42"/>
      <c r="Q6" s="516"/>
      <c r="R6" s="516"/>
      <c r="S6" s="516"/>
      <c r="T6" s="516"/>
      <c r="U6" s="516"/>
      <c r="V6" s="516"/>
      <c r="W6" s="516"/>
      <c r="X6" s="516"/>
      <c r="Y6" s="516"/>
      <c r="Z6" s="516"/>
      <c r="AA6" s="516"/>
      <c r="AB6" s="516"/>
    </row>
    <row r="7" spans="1:32" s="1" customFormat="1" ht="13">
      <c r="D7" s="20"/>
      <c r="E7" s="20"/>
      <c r="G7" s="42"/>
      <c r="H7" s="42"/>
      <c r="Q7" s="516"/>
      <c r="R7" s="516"/>
      <c r="S7" s="516"/>
      <c r="T7" s="516"/>
      <c r="U7" s="516"/>
      <c r="V7" s="516"/>
      <c r="W7" s="516"/>
      <c r="X7" s="516"/>
      <c r="Y7" s="516"/>
      <c r="Z7" s="516"/>
      <c r="AA7" s="516"/>
      <c r="AB7" s="516"/>
    </row>
    <row r="8" spans="1:32" s="1" customFormat="1" ht="13">
      <c r="A8" s="9" t="s">
        <v>718</v>
      </c>
      <c r="B8" s="115"/>
      <c r="C8" s="115"/>
      <c r="D8" s="115"/>
      <c r="E8" s="115"/>
      <c r="F8" s="115"/>
      <c r="G8" s="386"/>
      <c r="H8" s="386"/>
      <c r="I8"/>
      <c r="J8"/>
      <c r="Q8" s="516"/>
      <c r="R8" s="516"/>
      <c r="S8" s="516"/>
      <c r="T8" s="516"/>
      <c r="U8" s="516"/>
      <c r="V8" s="516"/>
      <c r="W8" s="516"/>
      <c r="X8" s="516"/>
      <c r="Y8" s="516"/>
      <c r="Z8" s="516"/>
      <c r="AA8" s="516"/>
      <c r="AB8" s="516"/>
    </row>
    <row r="9" spans="1:32" s="1" customFormat="1" ht="13">
      <c r="A9" s="154" t="s">
        <v>719</v>
      </c>
      <c r="B9" s="154"/>
      <c r="C9" s="154"/>
      <c r="D9" s="115"/>
      <c r="E9" s="686" t="s">
        <v>720</v>
      </c>
      <c r="F9" s="686"/>
      <c r="G9" s="42"/>
      <c r="H9" s="42"/>
      <c r="I9"/>
      <c r="J9"/>
      <c r="K9" s="367"/>
      <c r="L9" s="367"/>
      <c r="M9" s="367"/>
      <c r="Q9" s="516" t="s">
        <v>720</v>
      </c>
      <c r="R9" s="516"/>
      <c r="S9" s="516"/>
      <c r="T9" s="516"/>
      <c r="U9" s="516"/>
      <c r="V9" s="516"/>
      <c r="W9" s="516"/>
      <c r="X9" s="516"/>
      <c r="Y9" s="516"/>
      <c r="Z9" s="516"/>
      <c r="AA9" s="516"/>
      <c r="AB9" s="516"/>
    </row>
    <row r="10" spans="1:32" s="1" customFormat="1" ht="13">
      <c r="G10" s="42" t="s">
        <v>721</v>
      </c>
      <c r="H10" s="44" t="s">
        <v>722</v>
      </c>
      <c r="J10"/>
      <c r="K10" s="367"/>
      <c r="L10" s="367"/>
      <c r="M10" s="367"/>
      <c r="Q10" s="516" t="s">
        <v>721</v>
      </c>
      <c r="R10" s="516" t="s">
        <v>722</v>
      </c>
      <c r="S10" s="516"/>
      <c r="T10" s="516"/>
      <c r="U10" s="516"/>
      <c r="V10" s="516"/>
      <c r="W10" s="516"/>
      <c r="X10" s="516"/>
      <c r="Y10" s="516"/>
      <c r="Z10" s="516"/>
      <c r="AA10" s="516"/>
      <c r="AB10" s="516"/>
    </row>
    <row r="11" spans="1:32" s="1" customFormat="1" ht="15">
      <c r="A11" s="154" t="s">
        <v>723</v>
      </c>
      <c r="B11" s="154"/>
      <c r="C11" s="154"/>
      <c r="D11" s="115"/>
      <c r="E11" s="398"/>
      <c r="F11" s="154"/>
      <c r="G11" s="389">
        <f>VLOOKUP(E9,A94:E99,4,FALSE)</f>
        <v>0.2</v>
      </c>
      <c r="H11" s="389">
        <f>VLOOKUP(E9,A94:E99,5,FALSE)</f>
        <v>0.11</v>
      </c>
      <c r="J11"/>
      <c r="K11" s="367"/>
      <c r="L11" s="368"/>
      <c r="M11" s="367"/>
      <c r="Q11" s="523">
        <f>VLOOKUP($Q$9,$A$94:$E$99,4,FALSE)</f>
        <v>0.2</v>
      </c>
      <c r="R11" s="523">
        <f>VLOOKUP($Q$9,$A$94:$E$99,5,FALSE)</f>
        <v>0.11</v>
      </c>
      <c r="S11" s="516"/>
      <c r="T11" s="516"/>
      <c r="U11" s="516"/>
      <c r="V11" s="516"/>
      <c r="W11" s="516"/>
      <c r="X11" s="516"/>
      <c r="Y11" s="516"/>
      <c r="Z11" s="516"/>
      <c r="AA11" s="516"/>
      <c r="AB11" s="516"/>
    </row>
    <row r="12" spans="1:32" s="1" customFormat="1" ht="13">
      <c r="A12" s="154"/>
      <c r="B12"/>
      <c r="C12" s="154"/>
      <c r="D12" s="1" t="s">
        <v>724</v>
      </c>
      <c r="E12" s="398"/>
      <c r="G12" s="53">
        <f>G11*tfa</f>
        <v>25.200000000000003</v>
      </c>
      <c r="H12" s="53">
        <f>H11*tfa</f>
        <v>13.86</v>
      </c>
      <c r="J12"/>
      <c r="K12" s="367"/>
      <c r="L12" s="367"/>
      <c r="M12" s="367"/>
      <c r="Q12" s="524">
        <f>Q11*tfa</f>
        <v>25.200000000000003</v>
      </c>
      <c r="R12" s="524">
        <f>R11*tfa</f>
        <v>13.86</v>
      </c>
      <c r="S12" s="516"/>
      <c r="T12" s="516"/>
      <c r="U12" s="516"/>
      <c r="V12" s="516"/>
      <c r="W12" s="516"/>
      <c r="X12" s="516"/>
      <c r="Y12" s="516"/>
      <c r="Z12" s="516"/>
      <c r="AA12" s="516"/>
      <c r="AB12" s="516"/>
    </row>
    <row r="13" spans="1:32" ht="13">
      <c r="A13" s="21" t="s">
        <v>725</v>
      </c>
      <c r="G13" s="44"/>
      <c r="H13" s="44"/>
      <c r="K13" s="369"/>
      <c r="L13" s="369"/>
      <c r="M13" s="369"/>
    </row>
    <row r="14" spans="1:32" s="1" customFormat="1" ht="13">
      <c r="A14" s="154" t="s">
        <v>726</v>
      </c>
      <c r="B14" s="154"/>
      <c r="C14" s="154"/>
      <c r="D14" s="115"/>
      <c r="E14"/>
      <c r="F14"/>
      <c r="G14" s="157">
        <f>IF(hlc=0,1,(G12*1000000)/(hlc*3600))</f>
        <v>55.345021710129068</v>
      </c>
      <c r="H14" s="157"/>
      <c r="I14" s="115"/>
      <c r="J14"/>
      <c r="K14" s="367"/>
      <c r="L14" s="367"/>
      <c r="M14" s="367"/>
      <c r="Q14" s="505">
        <f>(Q12*1000000)/(hlcRef*3600)</f>
        <v>32.287135959161034</v>
      </c>
      <c r="R14" s="516"/>
      <c r="S14" s="516"/>
      <c r="T14" s="516"/>
      <c r="U14" s="516"/>
      <c r="V14" s="516"/>
      <c r="W14" s="516"/>
      <c r="X14" s="516"/>
      <c r="Y14" s="516"/>
      <c r="Z14" s="516"/>
      <c r="AA14" s="516"/>
      <c r="AB14" s="516"/>
    </row>
    <row r="15" spans="1:32" s="1" customFormat="1" ht="15">
      <c r="A15" s="1" t="s">
        <v>727</v>
      </c>
      <c r="C15" s="17"/>
      <c r="D15" s="17"/>
      <c r="F15"/>
      <c r="G15" s="55">
        <v>1</v>
      </c>
      <c r="H15" s="157"/>
      <c r="I15" s="115"/>
      <c r="J15"/>
      <c r="K15" s="367"/>
      <c r="L15" s="367"/>
      <c r="M15" s="367"/>
      <c r="Q15" s="516"/>
      <c r="R15" s="516"/>
      <c r="S15" s="516"/>
      <c r="T15" s="516"/>
      <c r="U15" s="516"/>
      <c r="V15" s="516"/>
      <c r="W15" s="516"/>
      <c r="X15" s="516"/>
      <c r="Y15" s="516"/>
      <c r="Z15" s="516"/>
      <c r="AA15" s="516"/>
      <c r="AB15" s="516"/>
    </row>
    <row r="16" spans="1:32" s="1" customFormat="1" ht="13">
      <c r="A16" s="1" t="s">
        <v>728</v>
      </c>
      <c r="C16" s="17"/>
      <c r="D16" s="17"/>
      <c r="F16"/>
      <c r="G16" s="55">
        <v>15</v>
      </c>
      <c r="H16" s="157"/>
      <c r="I16" s="115"/>
      <c r="J16"/>
      <c r="K16" s="367"/>
      <c r="L16" s="367"/>
      <c r="M16" s="367"/>
      <c r="Q16" s="516"/>
      <c r="R16" s="516"/>
      <c r="S16" s="516"/>
      <c r="T16" s="516"/>
      <c r="U16" s="516"/>
      <c r="V16" s="516"/>
      <c r="W16" s="516"/>
      <c r="X16" s="516"/>
      <c r="Y16" s="516"/>
      <c r="Z16" s="516"/>
      <c r="AA16" s="516"/>
      <c r="AB16" s="516"/>
    </row>
    <row r="17" spans="1:28" s="1" customFormat="1" ht="13">
      <c r="A17" s="1" t="s">
        <v>729</v>
      </c>
      <c r="D17" s="20"/>
      <c r="F17"/>
      <c r="G17" s="57">
        <f>G15+G14/G16</f>
        <v>4.6896681140086045</v>
      </c>
      <c r="H17" s="157"/>
      <c r="I17" s="115"/>
      <c r="J17"/>
      <c r="K17" s="367"/>
      <c r="L17" s="368"/>
      <c r="M17" s="367"/>
      <c r="Q17" s="525">
        <f>G15+Q14/G16</f>
        <v>3.1524757306107358</v>
      </c>
      <c r="R17" s="516"/>
      <c r="S17" s="516"/>
      <c r="T17" s="516"/>
      <c r="U17" s="516"/>
      <c r="V17" s="516"/>
      <c r="W17" s="516"/>
      <c r="X17" s="516"/>
      <c r="Y17" s="516"/>
      <c r="Z17" s="516"/>
      <c r="AA17" s="516"/>
      <c r="AB17" s="516"/>
    </row>
    <row r="18" spans="1:28" s="1" customFormat="1" ht="13">
      <c r="D18" s="20"/>
      <c r="F18"/>
      <c r="G18" s="22"/>
      <c r="H18" s="398"/>
      <c r="I18" s="115"/>
      <c r="J18"/>
      <c r="K18" s="367"/>
      <c r="L18" s="370"/>
      <c r="Q18" s="516"/>
      <c r="R18" s="516"/>
      <c r="S18" s="516"/>
      <c r="T18" s="516"/>
      <c r="U18" s="516"/>
      <c r="V18" s="516"/>
      <c r="W18" s="516"/>
      <c r="X18" s="516"/>
      <c r="Y18" s="516"/>
      <c r="Z18" s="516"/>
      <c r="AA18" s="516"/>
      <c r="AB18" s="516"/>
    </row>
    <row r="19" spans="1:28" s="1" customFormat="1" ht="13">
      <c r="A19" s="21" t="s">
        <v>730</v>
      </c>
      <c r="B19" s="154"/>
      <c r="C19" s="154"/>
      <c r="D19" s="115"/>
      <c r="E19"/>
      <c r="F19"/>
      <c r="G19" s="398"/>
      <c r="H19" s="398"/>
      <c r="I19" s="115"/>
      <c r="J19"/>
      <c r="K19" s="367"/>
      <c r="L19" s="370"/>
      <c r="Q19" s="516"/>
      <c r="R19" s="516"/>
      <c r="S19" s="516"/>
      <c r="T19" s="516"/>
      <c r="U19" s="516"/>
      <c r="V19" s="516"/>
      <c r="W19" s="516"/>
      <c r="X19" s="516"/>
      <c r="Y19" s="516"/>
      <c r="Z19" s="516"/>
      <c r="AA19" s="516"/>
      <c r="AB19" s="516"/>
    </row>
    <row r="20" spans="1:28" s="1" customFormat="1" ht="13">
      <c r="A20" s="154" t="s">
        <v>726</v>
      </c>
      <c r="B20"/>
      <c r="C20" s="154"/>
      <c r="D20" s="115"/>
      <c r="E20" s="398"/>
      <c r="G20" s="115"/>
      <c r="H20" s="434">
        <f>IF(hlc=0,1,(H12*1000000)/(hlc*3600))</f>
        <v>30.439761940570982</v>
      </c>
      <c r="I20" s="44"/>
      <c r="J20"/>
      <c r="K20" s="367"/>
      <c r="L20" s="370"/>
      <c r="Q20" s="518">
        <f>(R12*1000000)/(hlcRef*3600)</f>
        <v>17.757924777538566</v>
      </c>
      <c r="R20" s="518"/>
      <c r="S20" s="516"/>
      <c r="T20" s="516"/>
      <c r="U20" s="516"/>
      <c r="V20" s="516"/>
      <c r="W20" s="516"/>
      <c r="X20" s="516"/>
      <c r="Y20" s="516"/>
      <c r="Z20" s="516"/>
      <c r="AA20" s="516"/>
      <c r="AB20" s="516"/>
    </row>
    <row r="21" spans="1:28" s="1" customFormat="1" ht="13">
      <c r="A21" s="154" t="s">
        <v>731</v>
      </c>
      <c r="B21"/>
      <c r="C21" s="154"/>
      <c r="D21" s="115"/>
      <c r="E21" s="398"/>
      <c r="G21" s="115"/>
      <c r="H21" s="396">
        <f>HtUse!N77</f>
        <v>7.625</v>
      </c>
      <c r="I21" s="44"/>
      <c r="J21"/>
      <c r="K21" s="367"/>
      <c r="L21" s="370"/>
      <c r="Q21" s="516"/>
      <c r="R21" s="516"/>
      <c r="S21" s="516"/>
      <c r="T21" s="516"/>
      <c r="U21" s="516"/>
      <c r="V21" s="516"/>
      <c r="W21" s="516"/>
      <c r="X21" s="516"/>
      <c r="Y21" s="516"/>
      <c r="Z21" s="516"/>
      <c r="AA21" s="516"/>
      <c r="AB21" s="516"/>
    </row>
    <row r="22" spans="1:28" s="1" customFormat="1" ht="13">
      <c r="A22" s="154" t="s">
        <v>732</v>
      </c>
      <c r="B22"/>
      <c r="C22" s="154"/>
      <c r="D22" s="115"/>
      <c r="E22" s="398"/>
      <c r="G22" s="115"/>
      <c r="H22" s="400">
        <v>8</v>
      </c>
      <c r="I22" s="44"/>
      <c r="K22" s="367"/>
      <c r="L22" s="370"/>
      <c r="Q22" s="516"/>
      <c r="R22" s="516"/>
      <c r="S22" s="516"/>
      <c r="T22" s="516"/>
      <c r="U22" s="516"/>
      <c r="V22" s="516"/>
      <c r="W22" s="516"/>
      <c r="X22" s="516"/>
      <c r="Y22" s="516"/>
      <c r="Z22" s="516"/>
      <c r="AA22" s="516"/>
      <c r="AB22" s="516"/>
    </row>
    <row r="23" spans="1:28" s="1" customFormat="1" ht="13">
      <c r="A23" s="154" t="s">
        <v>733</v>
      </c>
      <c r="B23"/>
      <c r="C23" s="154"/>
      <c r="D23" s="115"/>
      <c r="E23" s="398"/>
      <c r="G23" s="115"/>
      <c r="H23" s="400">
        <v>14</v>
      </c>
      <c r="I23" s="44"/>
      <c r="K23" s="367"/>
      <c r="L23" s="370"/>
      <c r="Q23" s="516"/>
      <c r="R23" s="516"/>
      <c r="S23" s="516"/>
      <c r="T23" s="516"/>
      <c r="U23" s="516"/>
      <c r="V23" s="516"/>
      <c r="W23" s="516"/>
      <c r="X23" s="516"/>
      <c r="Y23" s="516"/>
      <c r="Z23" s="516"/>
      <c r="AA23" s="516"/>
      <c r="AB23" s="516"/>
    </row>
    <row r="24" spans="1:28" s="1" customFormat="1" ht="13">
      <c r="A24" s="154"/>
      <c r="B24"/>
      <c r="C24" s="154"/>
      <c r="D24" s="115"/>
      <c r="E24" s="398"/>
      <c r="G24" s="115"/>
      <c r="H24" s="396" t="s">
        <v>734</v>
      </c>
      <c r="I24" s="44" t="s">
        <v>735</v>
      </c>
      <c r="K24" s="367"/>
      <c r="L24" s="370"/>
      <c r="Q24" s="516"/>
      <c r="R24" s="516"/>
      <c r="S24" s="516"/>
      <c r="T24" s="516"/>
      <c r="U24" s="516"/>
      <c r="V24" s="516"/>
      <c r="W24" s="516"/>
      <c r="X24" s="516"/>
      <c r="Y24" s="516"/>
      <c r="Z24" s="516"/>
      <c r="AA24" s="516"/>
      <c r="AB24" s="516"/>
    </row>
    <row r="25" spans="1:28" s="1" customFormat="1" ht="13">
      <c r="A25" s="154" t="s">
        <v>736</v>
      </c>
      <c r="B25"/>
      <c r="C25" s="154"/>
      <c r="D25" s="115"/>
      <c r="E25" s="398"/>
      <c r="G25" s="115"/>
      <c r="H25" s="155">
        <f>H22*H23</f>
        <v>112</v>
      </c>
      <c r="I25" s="44">
        <f>168-H25</f>
        <v>56</v>
      </c>
      <c r="Q25" s="516"/>
      <c r="R25" s="516"/>
      <c r="S25" s="516"/>
      <c r="T25" s="516"/>
      <c r="U25" s="516"/>
      <c r="V25" s="516"/>
      <c r="W25" s="516"/>
      <c r="X25" s="516"/>
      <c r="Y25" s="516"/>
      <c r="Z25" s="516"/>
      <c r="AA25" s="516"/>
      <c r="AB25" s="516"/>
    </row>
    <row r="26" spans="1:28" s="1" customFormat="1" ht="13">
      <c r="A26" t="s">
        <v>737</v>
      </c>
      <c r="B26" s="115"/>
      <c r="C26" s="115"/>
      <c r="D26" s="115"/>
      <c r="E26" s="115"/>
      <c r="F26" s="115"/>
      <c r="G26" s="115"/>
      <c r="H26" s="435">
        <f>(H12)*(G6-Tem)*(1-EXP(-H22/H20))</f>
        <v>35.636232738492929</v>
      </c>
      <c r="I26" s="436"/>
      <c r="J26"/>
      <c r="Q26" s="526">
        <f>(R12*1000000)*(G6-Tem)*(1-EXP(-H22/Q20))</f>
        <v>55924471.418538339</v>
      </c>
      <c r="R26" s="526"/>
      <c r="S26" s="516"/>
      <c r="T26" s="516"/>
      <c r="U26" s="516"/>
      <c r="V26" s="516"/>
      <c r="W26" s="516"/>
      <c r="X26" s="516"/>
      <c r="Y26" s="516"/>
      <c r="Z26" s="516"/>
      <c r="AA26" s="516"/>
      <c r="AB26" s="516"/>
    </row>
    <row r="27" spans="1:28" s="1" customFormat="1" ht="13">
      <c r="A27" t="s">
        <v>738</v>
      </c>
      <c r="B27" s="115"/>
      <c r="C27" s="115"/>
      <c r="D27" s="115"/>
      <c r="E27" s="115"/>
      <c r="F27" s="115"/>
      <c r="G27" s="115"/>
      <c r="H27" s="437">
        <f>IF(hlc=0,0,Tem+H26*1000000/(hlc*H22*3600))</f>
        <v>17.408174973110629</v>
      </c>
      <c r="I27" s="437"/>
      <c r="J27" s="5"/>
      <c r="K27" s="17"/>
      <c r="L27" s="17"/>
      <c r="M27" s="17"/>
      <c r="N27" s="17"/>
      <c r="O27" s="17"/>
      <c r="P27" s="17"/>
      <c r="Q27" s="527">
        <f>Tem+Q26/(hlcRef*H22*3600)</f>
        <v>16.581552639556364</v>
      </c>
      <c r="R27" s="527"/>
      <c r="S27" s="516"/>
      <c r="T27" s="516"/>
      <c r="U27" s="516"/>
      <c r="V27" s="516"/>
      <c r="W27" s="516"/>
      <c r="X27" s="516"/>
      <c r="Y27" s="516"/>
      <c r="Z27" s="516"/>
      <c r="AA27" s="516"/>
      <c r="AB27" s="516"/>
    </row>
    <row r="28" spans="1:28" s="1" customFormat="1" ht="13">
      <c r="A28" t="s">
        <v>739</v>
      </c>
      <c r="B28" s="115"/>
      <c r="C28" s="115"/>
      <c r="D28" s="115"/>
      <c r="E28" s="115"/>
      <c r="F28" s="115"/>
      <c r="G28" s="115"/>
      <c r="H28" s="437">
        <f>(H25*H27+I25*G6)/168</f>
        <v>17.855449982073754</v>
      </c>
      <c r="I28" s="58"/>
      <c r="J28" s="5"/>
      <c r="K28" s="17"/>
      <c r="L28" s="17"/>
      <c r="M28" s="17"/>
      <c r="N28" s="17"/>
      <c r="O28" s="17"/>
      <c r="P28" s="17"/>
      <c r="Q28" s="527">
        <f>(H25*Q27+I25*G6)/168</f>
        <v>17.304368426370907</v>
      </c>
      <c r="R28" s="516"/>
      <c r="S28" s="516"/>
      <c r="T28" s="516"/>
      <c r="U28" s="516"/>
      <c r="V28" s="516"/>
      <c r="W28" s="516"/>
      <c r="X28" s="516"/>
      <c r="Y28" s="516"/>
      <c r="Z28" s="516"/>
      <c r="AA28" s="516"/>
      <c r="AB28" s="516"/>
    </row>
    <row r="29" spans="1:28" s="1" customFormat="1" ht="13">
      <c r="A29" t="s">
        <v>740</v>
      </c>
      <c r="B29" s="115"/>
      <c r="C29" s="115"/>
      <c r="D29" s="115"/>
      <c r="E29" s="115"/>
      <c r="F29" s="115"/>
      <c r="G29" s="115"/>
      <c r="H29" s="438">
        <f>(H28-Tem)/(G6-Tem)</f>
        <v>0.91959100962460705</v>
      </c>
      <c r="I29" s="44"/>
      <c r="J29"/>
      <c r="Q29" s="528">
        <f>(Q28-Tem)/(G6-Tem)</f>
        <v>0.87005558888727252</v>
      </c>
      <c r="R29" s="516"/>
      <c r="S29" s="516"/>
      <c r="T29" s="516"/>
      <c r="U29" s="516"/>
      <c r="V29" s="516"/>
      <c r="W29" s="516"/>
      <c r="X29" s="516"/>
      <c r="Y29" s="516"/>
      <c r="Z29" s="516"/>
      <c r="AA29" s="516"/>
      <c r="AB29" s="516"/>
    </row>
    <row r="30" spans="1:28" s="1" customFormat="1" ht="13">
      <c r="A30"/>
      <c r="B30" s="115"/>
      <c r="C30" s="115"/>
      <c r="D30" s="115"/>
      <c r="E30" s="115"/>
      <c r="F30" s="115"/>
      <c r="G30" s="115"/>
      <c r="H30" s="115"/>
      <c r="I30"/>
      <c r="J30"/>
      <c r="Q30" s="516"/>
      <c r="R30" s="516"/>
      <c r="S30" s="516"/>
      <c r="T30" s="516"/>
      <c r="U30" s="516"/>
      <c r="V30" s="516"/>
      <c r="W30" s="516"/>
      <c r="X30" s="516"/>
      <c r="Y30" s="516"/>
      <c r="Z30" s="516"/>
      <c r="AA30" s="516"/>
      <c r="AB30" s="516"/>
    </row>
    <row r="31" spans="1:28" s="1" customFormat="1" ht="13">
      <c r="A31" s="23" t="s">
        <v>741</v>
      </c>
      <c r="D31" s="20"/>
      <c r="E31" s="20"/>
      <c r="O31" s="1" t="s">
        <v>742</v>
      </c>
      <c r="Q31" s="516"/>
      <c r="R31" s="516"/>
      <c r="S31" s="516"/>
      <c r="T31" s="516"/>
      <c r="U31" s="516"/>
      <c r="V31" s="516"/>
      <c r="W31" s="516"/>
      <c r="X31" s="516"/>
      <c r="Y31" s="516"/>
      <c r="Z31" s="516"/>
      <c r="AA31" s="516"/>
      <c r="AB31" s="516"/>
    </row>
    <row r="32" spans="1:28" s="1" customFormat="1" ht="13">
      <c r="A32" s="154" t="s">
        <v>743</v>
      </c>
      <c r="C32" s="60" t="s">
        <v>638</v>
      </c>
      <c r="D32" s="60" t="s">
        <v>639</v>
      </c>
      <c r="E32" s="60" t="s">
        <v>640</v>
      </c>
      <c r="F32" s="60" t="s">
        <v>641</v>
      </c>
      <c r="G32" s="60" t="s">
        <v>642</v>
      </c>
      <c r="H32" s="60" t="s">
        <v>643</v>
      </c>
      <c r="I32" s="60" t="s">
        <v>644</v>
      </c>
      <c r="J32" s="60" t="s">
        <v>645</v>
      </c>
      <c r="K32" s="60" t="s">
        <v>646</v>
      </c>
      <c r="L32" s="60" t="s">
        <v>647</v>
      </c>
      <c r="M32" s="60" t="s">
        <v>648</v>
      </c>
      <c r="N32" s="60" t="s">
        <v>649</v>
      </c>
      <c r="O32" s="42" t="s">
        <v>744</v>
      </c>
      <c r="Q32" s="529" t="s">
        <v>638</v>
      </c>
      <c r="R32" s="529" t="s">
        <v>639</v>
      </c>
      <c r="S32" s="529" t="s">
        <v>640</v>
      </c>
      <c r="T32" s="529" t="s">
        <v>641</v>
      </c>
      <c r="U32" s="529" t="s">
        <v>642</v>
      </c>
      <c r="V32" s="529" t="s">
        <v>643</v>
      </c>
      <c r="W32" s="529" t="s">
        <v>644</v>
      </c>
      <c r="X32" s="529" t="s">
        <v>645</v>
      </c>
      <c r="Y32" s="529" t="s">
        <v>646</v>
      </c>
      <c r="Z32" s="529" t="s">
        <v>647</v>
      </c>
      <c r="AA32" s="529" t="s">
        <v>648</v>
      </c>
      <c r="AB32" s="529" t="s">
        <v>649</v>
      </c>
    </row>
    <row r="33" spans="1:28" s="1" customFormat="1" ht="13">
      <c r="A33" s="154" t="s">
        <v>357</v>
      </c>
      <c r="C33" s="155"/>
      <c r="D33" s="155"/>
      <c r="E33" s="155"/>
      <c r="F33" s="155"/>
      <c r="G33" s="155"/>
      <c r="H33" s="155"/>
      <c r="I33" s="155"/>
      <c r="J33" s="155"/>
      <c r="K33" s="155"/>
      <c r="L33" s="155"/>
      <c r="M33" s="155"/>
      <c r="N33" s="155"/>
      <c r="O33" s="42"/>
      <c r="Q33" s="516"/>
      <c r="R33" s="516"/>
      <c r="S33" s="516"/>
      <c r="T33" s="516"/>
      <c r="U33" s="516"/>
      <c r="V33" s="516"/>
      <c r="W33" s="516"/>
      <c r="X33" s="516"/>
      <c r="Y33" s="516"/>
      <c r="Z33" s="516"/>
      <c r="AA33" s="516"/>
      <c r="AB33" s="516"/>
    </row>
    <row r="34" spans="1:28" s="1" customFormat="1" ht="13">
      <c r="A34" s="154" t="s">
        <v>360</v>
      </c>
      <c r="C34" s="387">
        <f>Win!$F33*B82</f>
        <v>7.0727580000000012E-2</v>
      </c>
      <c r="D34" s="387">
        <f>Win!$F33*C82</f>
        <v>0.13359654000000001</v>
      </c>
      <c r="E34" s="387">
        <f>Win!$F33*D82</f>
        <v>0.23837814000000002</v>
      </c>
      <c r="F34" s="387">
        <f>Win!$F33*E82</f>
        <v>0.35625744000000004</v>
      </c>
      <c r="G34" s="387">
        <f>Win!$F33*F82</f>
        <v>0.49509306000000003</v>
      </c>
      <c r="H34" s="387">
        <f>Win!$F33*G82</f>
        <v>0.55534248000000008</v>
      </c>
      <c r="I34" s="387">
        <f>Win!$F33*H82</f>
        <v>0.50819076000000007</v>
      </c>
      <c r="J34" s="387">
        <f>Win!$F33*I82</f>
        <v>0.41126778000000003</v>
      </c>
      <c r="K34" s="387">
        <f>Win!$F33*J82</f>
        <v>0.27767124000000004</v>
      </c>
      <c r="L34" s="387">
        <f>Win!$F33*K82</f>
        <v>0.15979194000000002</v>
      </c>
      <c r="M34" s="387">
        <f>Win!$F33*L82</f>
        <v>8.6444820000000006E-2</v>
      </c>
      <c r="N34" s="387">
        <f>Win!$F33*M82</f>
        <v>5.2390800000000008E-2</v>
      </c>
      <c r="O34" s="42"/>
      <c r="Q34" s="516"/>
      <c r="R34" s="516"/>
      <c r="S34" s="516"/>
      <c r="T34" s="516"/>
      <c r="U34" s="516"/>
      <c r="V34" s="516"/>
      <c r="W34" s="516"/>
      <c r="X34" s="516"/>
      <c r="Y34" s="516"/>
      <c r="Z34" s="516"/>
      <c r="AA34" s="516"/>
      <c r="AB34" s="516"/>
    </row>
    <row r="35" spans="1:28" s="1" customFormat="1" ht="13">
      <c r="A35" s="154" t="s">
        <v>388</v>
      </c>
      <c r="C35" s="387">
        <f>Win!$F34*B83</f>
        <v>0</v>
      </c>
      <c r="D35" s="387">
        <f>Win!$F34*C83</f>
        <v>0</v>
      </c>
      <c r="E35" s="387">
        <f>Win!$F34*D83</f>
        <v>0</v>
      </c>
      <c r="F35" s="387">
        <f>Win!$F34*E83</f>
        <v>0</v>
      </c>
      <c r="G35" s="387">
        <f>Win!$F34*F83</f>
        <v>0</v>
      </c>
      <c r="H35" s="387">
        <f>Win!$F34*G83</f>
        <v>0</v>
      </c>
      <c r="I35" s="387">
        <f>Win!$F34*H83</f>
        <v>0</v>
      </c>
      <c r="J35" s="387">
        <f>Win!$F34*I83</f>
        <v>0</v>
      </c>
      <c r="K35" s="387">
        <f>Win!$F34*J83</f>
        <v>0</v>
      </c>
      <c r="L35" s="387">
        <f>Win!$F34*K83</f>
        <v>0</v>
      </c>
      <c r="M35" s="387">
        <f>Win!$F34*L83</f>
        <v>0</v>
      </c>
      <c r="N35" s="387">
        <f>Win!$F34*M83</f>
        <v>0</v>
      </c>
      <c r="O35" s="42"/>
      <c r="Q35" s="516"/>
      <c r="R35" s="516"/>
      <c r="S35" s="516"/>
      <c r="T35" s="516"/>
      <c r="U35" s="516"/>
      <c r="V35" s="516"/>
      <c r="W35" s="516"/>
      <c r="X35" s="516"/>
      <c r="Y35" s="516"/>
      <c r="Z35" s="516"/>
      <c r="AA35" s="516"/>
      <c r="AB35" s="516"/>
    </row>
    <row r="36" spans="1:28" s="1" customFormat="1" ht="13">
      <c r="A36" s="154" t="s">
        <v>745</v>
      </c>
      <c r="C36" s="387">
        <f>Win!$F35*B84</f>
        <v>3.6755056799999992</v>
      </c>
      <c r="D36" s="387">
        <f>Win!$F35*C84</f>
        <v>7.3510113599999984</v>
      </c>
      <c r="E36" s="387">
        <f>Win!$F35*D84</f>
        <v>12.613667219999998</v>
      </c>
      <c r="F36" s="387">
        <f>Win!$F35*E84</f>
        <v>18.711665279999998</v>
      </c>
      <c r="G36" s="387">
        <f>Win!$F35*F84</f>
        <v>24.057855359999994</v>
      </c>
      <c r="H36" s="387">
        <f>Win!$F35*G84</f>
        <v>24.224923799999996</v>
      </c>
      <c r="I36" s="387">
        <f>Win!$F35*H84</f>
        <v>22.387170959999995</v>
      </c>
      <c r="J36" s="387">
        <f>Win!$F35*I84</f>
        <v>20.382349679999997</v>
      </c>
      <c r="K36" s="387">
        <f>Win!$F35*J84</f>
        <v>15.620899139999997</v>
      </c>
      <c r="L36" s="387">
        <f>Win!$F35*K84</f>
        <v>9.8570379599999978</v>
      </c>
      <c r="M36" s="387">
        <f>Win!$F35*L84</f>
        <v>4.6779163199999996</v>
      </c>
      <c r="N36" s="387">
        <f>Win!$F35*M84</f>
        <v>3.0907661399999995</v>
      </c>
      <c r="O36" s="42"/>
      <c r="Q36" s="504">
        <f>Win!$P35*B84</f>
        <v>4.5566025119999995</v>
      </c>
      <c r="R36" s="504">
        <f>Win!$P35*C84</f>
        <v>9.1132050239999991</v>
      </c>
      <c r="S36" s="504">
        <f>Win!$P35*D84</f>
        <v>15.637431347999998</v>
      </c>
      <c r="T36" s="504">
        <f>Win!$P35*E84</f>
        <v>23.197249152000001</v>
      </c>
      <c r="U36" s="504">
        <f>Win!$P35*F84</f>
        <v>29.825034623999997</v>
      </c>
      <c r="V36" s="504"/>
      <c r="W36" s="504"/>
      <c r="X36" s="504"/>
      <c r="Y36" s="504"/>
      <c r="Z36" s="504">
        <f>Win!$P35*K84</f>
        <v>12.219979463999998</v>
      </c>
      <c r="AA36" s="504">
        <f>Win!$P35*L84</f>
        <v>5.7993122880000003</v>
      </c>
      <c r="AB36" s="504">
        <f>Win!$P35*M84</f>
        <v>3.8316884759999996</v>
      </c>
    </row>
    <row r="37" spans="1:28" s="1" customFormat="1" ht="13">
      <c r="A37" s="154" t="s">
        <v>361</v>
      </c>
      <c r="C37" s="387">
        <f>Win!$F36*B85</f>
        <v>0</v>
      </c>
      <c r="D37" s="387">
        <f>Win!$F36*C85</f>
        <v>0</v>
      </c>
      <c r="E37" s="387">
        <f>Win!$F36*D85</f>
        <v>0</v>
      </c>
      <c r="F37" s="387">
        <f>Win!$F36*E85</f>
        <v>0</v>
      </c>
      <c r="G37" s="387">
        <f>Win!$F36*F85</f>
        <v>0</v>
      </c>
      <c r="H37" s="387">
        <f>Win!$F36*G85</f>
        <v>0</v>
      </c>
      <c r="I37" s="387">
        <f>Win!$F36*H85</f>
        <v>0</v>
      </c>
      <c r="J37" s="387">
        <f>Win!$F36*I85</f>
        <v>0</v>
      </c>
      <c r="K37" s="387">
        <f>Win!$F36*J85</f>
        <v>0</v>
      </c>
      <c r="L37" s="387">
        <f>Win!$F36*K85</f>
        <v>0</v>
      </c>
      <c r="M37" s="387">
        <f>Win!$F36*L85</f>
        <v>0</v>
      </c>
      <c r="N37" s="387">
        <f>Win!$F36*M85</f>
        <v>0</v>
      </c>
      <c r="O37" s="42"/>
      <c r="Q37" s="516"/>
      <c r="R37" s="516"/>
      <c r="S37" s="516"/>
      <c r="T37" s="516"/>
      <c r="U37" s="516"/>
      <c r="V37" s="516"/>
      <c r="W37" s="516"/>
      <c r="X37" s="516"/>
      <c r="Y37" s="516"/>
      <c r="Z37" s="516"/>
      <c r="AA37" s="516"/>
      <c r="AB37" s="516"/>
    </row>
    <row r="38" spans="1:28" s="1" customFormat="1" ht="13">
      <c r="A38" s="154" t="s">
        <v>359</v>
      </c>
      <c r="C38" s="387">
        <f>Win!$F37*B86</f>
        <v>0</v>
      </c>
      <c r="D38" s="387">
        <f>Win!$F37*C86</f>
        <v>0</v>
      </c>
      <c r="E38" s="387">
        <f>Win!$F37*D86</f>
        <v>0</v>
      </c>
      <c r="F38" s="387">
        <f>Win!$F37*E86</f>
        <v>0</v>
      </c>
      <c r="G38" s="387">
        <f>Win!$F37*F86</f>
        <v>0</v>
      </c>
      <c r="H38" s="387">
        <f>Win!$F37*G86</f>
        <v>0</v>
      </c>
      <c r="I38" s="387">
        <f>Win!$F37*H86</f>
        <v>0</v>
      </c>
      <c r="J38" s="387">
        <f>Win!$F37*I86</f>
        <v>0</v>
      </c>
      <c r="K38" s="387">
        <f>Win!$F37*J86</f>
        <v>0</v>
      </c>
      <c r="L38" s="387">
        <f>Win!$F37*K86</f>
        <v>0</v>
      </c>
      <c r="M38" s="387">
        <f>Win!$F37*L86</f>
        <v>0</v>
      </c>
      <c r="N38" s="387">
        <f>Win!$F37*M86</f>
        <v>0</v>
      </c>
      <c r="O38" s="42"/>
      <c r="Q38" s="516"/>
      <c r="R38" s="516"/>
      <c r="S38" s="516"/>
      <c r="T38" s="516"/>
      <c r="U38" s="516"/>
      <c r="V38" s="516"/>
      <c r="W38" s="516"/>
      <c r="X38" s="516"/>
      <c r="Y38" s="516"/>
      <c r="Z38" s="516"/>
      <c r="AA38" s="516"/>
      <c r="AB38" s="516"/>
    </row>
    <row r="39" spans="1:28" s="1" customFormat="1" ht="13">
      <c r="A39" s="154" t="s">
        <v>746</v>
      </c>
      <c r="C39" s="387">
        <f>Win!$F38*B87</f>
        <v>0</v>
      </c>
      <c r="D39" s="387">
        <f>Win!$F38*C87</f>
        <v>0</v>
      </c>
      <c r="E39" s="387">
        <f>Win!$F38*D87</f>
        <v>0</v>
      </c>
      <c r="F39" s="387">
        <f>Win!$F38*E87</f>
        <v>0</v>
      </c>
      <c r="G39" s="387">
        <f>Win!$F38*F87</f>
        <v>0</v>
      </c>
      <c r="H39" s="387">
        <f>Win!$F38*G87</f>
        <v>0</v>
      </c>
      <c r="I39" s="387">
        <f>Win!$F38*H87</f>
        <v>0</v>
      </c>
      <c r="J39" s="387">
        <f>Win!$F38*I87</f>
        <v>0</v>
      </c>
      <c r="K39" s="387">
        <f>Win!$F38*J87</f>
        <v>0</v>
      </c>
      <c r="L39" s="387">
        <f>Win!$F38*K87</f>
        <v>0</v>
      </c>
      <c r="M39" s="387">
        <f>Win!$F38*L87</f>
        <v>0</v>
      </c>
      <c r="N39" s="387">
        <f>Win!$F38*M87</f>
        <v>0</v>
      </c>
      <c r="O39" s="42"/>
      <c r="Q39" s="516"/>
      <c r="R39" s="516"/>
      <c r="S39" s="516"/>
      <c r="T39" s="516"/>
      <c r="U39" s="516"/>
      <c r="V39" s="516"/>
      <c r="W39" s="516"/>
      <c r="X39" s="516"/>
      <c r="Y39" s="516"/>
      <c r="Z39" s="516"/>
      <c r="AA39" s="516"/>
      <c r="AB39" s="516"/>
    </row>
    <row r="40" spans="1:28" s="1" customFormat="1" ht="13">
      <c r="A40" s="154"/>
      <c r="B40" s="154"/>
      <c r="C40" s="155"/>
      <c r="D40" s="155"/>
      <c r="E40" s="155"/>
      <c r="F40" s="155"/>
      <c r="G40" s="155"/>
      <c r="H40" s="155"/>
      <c r="I40" s="155"/>
      <c r="J40" s="155"/>
      <c r="K40" s="155"/>
      <c r="L40" s="155"/>
      <c r="M40" s="155"/>
      <c r="N40" s="155"/>
      <c r="O40" s="42"/>
      <c r="Q40" s="516"/>
      <c r="R40" s="516"/>
      <c r="S40" s="516"/>
      <c r="T40" s="516"/>
      <c r="U40" s="516"/>
      <c r="V40" s="516"/>
      <c r="W40" s="516"/>
      <c r="X40" s="516"/>
      <c r="Y40" s="516"/>
      <c r="Z40" s="516"/>
      <c r="AA40" s="516"/>
      <c r="AB40" s="516"/>
    </row>
    <row r="41" spans="1:28" s="1" customFormat="1" ht="13">
      <c r="A41" s="154" t="s">
        <v>747</v>
      </c>
      <c r="B41" s="115"/>
      <c r="C41" s="439">
        <f>SUM(C34:C39)</f>
        <v>3.7462332599999995</v>
      </c>
      <c r="D41" s="439">
        <f t="shared" ref="D41:N41" si="0">SUM(D34:D39)</f>
        <v>7.4846078999999985</v>
      </c>
      <c r="E41" s="439">
        <f t="shared" si="0"/>
        <v>12.852045359999998</v>
      </c>
      <c r="F41" s="439">
        <f t="shared" si="0"/>
        <v>19.067922719999999</v>
      </c>
      <c r="G41" s="439">
        <f t="shared" si="0"/>
        <v>24.552948419999993</v>
      </c>
      <c r="H41" s="439">
        <f t="shared" si="0"/>
        <v>24.780266279999996</v>
      </c>
      <c r="I41" s="439">
        <f t="shared" si="0"/>
        <v>22.895361719999997</v>
      </c>
      <c r="J41" s="439">
        <f t="shared" si="0"/>
        <v>20.793617459999997</v>
      </c>
      <c r="K41" s="439">
        <f t="shared" si="0"/>
        <v>15.898570379999997</v>
      </c>
      <c r="L41" s="439">
        <f t="shared" si="0"/>
        <v>10.016829899999998</v>
      </c>
      <c r="M41" s="439">
        <f t="shared" si="0"/>
        <v>4.7643611399999992</v>
      </c>
      <c r="N41" s="439">
        <f t="shared" si="0"/>
        <v>3.1431569399999995</v>
      </c>
      <c r="O41" s="42"/>
      <c r="Q41" s="516"/>
      <c r="R41" s="516"/>
      <c r="S41" s="516"/>
      <c r="T41" s="516"/>
      <c r="U41" s="516"/>
      <c r="V41" s="516"/>
      <c r="W41" s="516"/>
      <c r="X41" s="516"/>
      <c r="Y41" s="516"/>
      <c r="Z41" s="516"/>
      <c r="AA41" s="516"/>
      <c r="AB41" s="516"/>
    </row>
    <row r="42" spans="1:28" s="1" customFormat="1" ht="13">
      <c r="A42"/>
      <c r="B42" t="s">
        <v>622</v>
      </c>
      <c r="C42" s="49">
        <f>C41*1000/24</f>
        <v>156.09305249999997</v>
      </c>
      <c r="D42" s="49">
        <f t="shared" ref="D42:N42" si="1">D41*1000/24</f>
        <v>311.85866249999992</v>
      </c>
      <c r="E42" s="49">
        <f t="shared" si="1"/>
        <v>535.50188999999989</v>
      </c>
      <c r="F42" s="49">
        <f t="shared" si="1"/>
        <v>794.49677999999994</v>
      </c>
      <c r="G42" s="49">
        <f t="shared" si="1"/>
        <v>1023.0395174999998</v>
      </c>
      <c r="H42" s="49">
        <f t="shared" si="1"/>
        <v>1032.5110949999998</v>
      </c>
      <c r="I42" s="49">
        <f t="shared" si="1"/>
        <v>953.97340499999984</v>
      </c>
      <c r="J42" s="49">
        <f t="shared" si="1"/>
        <v>866.4007274999999</v>
      </c>
      <c r="K42" s="49">
        <f t="shared" si="1"/>
        <v>662.44043249999993</v>
      </c>
      <c r="L42" s="49">
        <f t="shared" si="1"/>
        <v>417.36791249999987</v>
      </c>
      <c r="M42" s="49">
        <f t="shared" si="1"/>
        <v>198.51504749999995</v>
      </c>
      <c r="N42" s="49">
        <f t="shared" si="1"/>
        <v>130.96487249999998</v>
      </c>
      <c r="O42" s="53">
        <f>AVERAGE(C42:G42,L42:N42)</f>
        <v>445.97971687499995</v>
      </c>
      <c r="P42" s="17"/>
      <c r="Q42" s="522">
        <f>Q36*1000/24</f>
        <v>189.85843799999998</v>
      </c>
      <c r="R42" s="522">
        <f t="shared" ref="R42:AB42" si="2">R36*1000/24</f>
        <v>379.71687599999996</v>
      </c>
      <c r="S42" s="522">
        <f t="shared" si="2"/>
        <v>651.55963949999989</v>
      </c>
      <c r="T42" s="522">
        <f t="shared" si="2"/>
        <v>966.55204800000001</v>
      </c>
      <c r="U42" s="522">
        <f t="shared" si="2"/>
        <v>1242.7097759999999</v>
      </c>
      <c r="V42" s="522"/>
      <c r="W42" s="522"/>
      <c r="X42" s="522"/>
      <c r="Y42" s="522"/>
      <c r="Z42" s="522">
        <f t="shared" si="2"/>
        <v>509.16581099999991</v>
      </c>
      <c r="AA42" s="522">
        <f t="shared" si="2"/>
        <v>241.638012</v>
      </c>
      <c r="AB42" s="522">
        <f t="shared" si="2"/>
        <v>159.65368649999999</v>
      </c>
    </row>
    <row r="43" spans="1:28" s="1" customFormat="1" ht="13">
      <c r="C43" s="42"/>
      <c r="D43" s="42"/>
      <c r="E43" s="42"/>
      <c r="F43" s="42"/>
      <c r="G43" s="42"/>
      <c r="H43" s="42"/>
      <c r="I43" s="42"/>
      <c r="J43" s="42"/>
      <c r="K43" s="42"/>
      <c r="L43" s="42"/>
      <c r="M43" s="44"/>
      <c r="N43" s="44"/>
      <c r="O43" s="42"/>
      <c r="Q43" s="516"/>
      <c r="R43" s="516"/>
      <c r="S43" s="516"/>
      <c r="T43" s="516"/>
      <c r="U43" s="516"/>
      <c r="V43" s="516"/>
      <c r="W43" s="516"/>
      <c r="X43" s="516"/>
      <c r="Y43" s="516"/>
      <c r="Z43" s="516"/>
      <c r="AA43" s="516"/>
      <c r="AB43" s="516"/>
    </row>
    <row r="44" spans="1:28" s="6" customFormat="1">
      <c r="A44" s="154" t="s">
        <v>748</v>
      </c>
      <c r="B44" s="154"/>
      <c r="C44" s="157">
        <f>Light!$E$70+C42</f>
        <v>659.63527009880693</v>
      </c>
      <c r="D44" s="157">
        <f>Light!$E$70+D42</f>
        <v>815.40088009880685</v>
      </c>
      <c r="E44" s="157">
        <f>Light!$E$70+E42</f>
        <v>1039.0441075988069</v>
      </c>
      <c r="F44" s="157">
        <f>Light!$E$70+F42</f>
        <v>1298.0389975988069</v>
      </c>
      <c r="G44" s="157">
        <f>Light!$E$70+G42</f>
        <v>1526.5817350988068</v>
      </c>
      <c r="H44" s="157">
        <f>Light!$E$70+H42</f>
        <v>1536.0533125988068</v>
      </c>
      <c r="I44" s="157">
        <f>Light!$E$70+I42</f>
        <v>1457.5156225988067</v>
      </c>
      <c r="J44" s="157">
        <f>Light!$E$70+J42</f>
        <v>1369.9429450988068</v>
      </c>
      <c r="K44" s="157">
        <f>Light!$E$70+K42</f>
        <v>1165.982650098807</v>
      </c>
      <c r="L44" s="157">
        <f>Light!$E$70+L42</f>
        <v>920.9101300988068</v>
      </c>
      <c r="M44" s="157">
        <f>Light!$E$70+M42</f>
        <v>702.05726509880685</v>
      </c>
      <c r="N44" s="157">
        <f>Light!$E$70+N42</f>
        <v>634.50709009880688</v>
      </c>
      <c r="O44" s="157">
        <f>AVERAGE(C44:G44,L44:N44)</f>
        <v>949.52193447380682</v>
      </c>
      <c r="P44" s="398"/>
      <c r="Q44" s="505">
        <f>Light!$L$70+Q42</f>
        <v>850.90481187771297</v>
      </c>
      <c r="R44" s="505">
        <f>Light!$L$70+R42</f>
        <v>1040.763249877713</v>
      </c>
      <c r="S44" s="505">
        <f>Light!$L$70+S42</f>
        <v>1312.6060133777128</v>
      </c>
      <c r="T44" s="505">
        <f>Light!$L$70+T42</f>
        <v>1627.598421877713</v>
      </c>
      <c r="U44" s="505">
        <f>Light!$L$70+U42</f>
        <v>1903.7561498777129</v>
      </c>
      <c r="V44" s="505"/>
      <c r="W44" s="505"/>
      <c r="X44" s="505"/>
      <c r="Y44" s="505"/>
      <c r="Z44" s="505">
        <f>Light!$L$70+Z42</f>
        <v>1170.2121848777128</v>
      </c>
      <c r="AA44" s="505">
        <f>Light!$L$70+AA42</f>
        <v>902.684385877713</v>
      </c>
      <c r="AB44" s="505">
        <f>Light!$L$70+AB42</f>
        <v>820.70006037771304</v>
      </c>
    </row>
    <row r="45" spans="1:28" s="6" customFormat="1">
      <c r="A45" s="154"/>
      <c r="B45" s="154"/>
      <c r="C45" s="157"/>
      <c r="D45" s="157"/>
      <c r="E45" s="157"/>
      <c r="F45" s="157"/>
      <c r="G45" s="157"/>
      <c r="H45" s="157"/>
      <c r="I45" s="157"/>
      <c r="J45" s="157"/>
      <c r="K45" s="157"/>
      <c r="L45" s="157"/>
      <c r="M45" s="157"/>
      <c r="N45" s="157"/>
      <c r="O45" s="155"/>
      <c r="P45" s="154"/>
      <c r="Q45" s="503"/>
      <c r="R45" s="503"/>
      <c r="S45" s="503"/>
      <c r="T45" s="503"/>
      <c r="U45" s="503"/>
      <c r="V45" s="503"/>
      <c r="W45" s="503"/>
      <c r="X45" s="503"/>
      <c r="Y45" s="503"/>
      <c r="Z45" s="503"/>
      <c r="AA45" s="503"/>
      <c r="AB45" s="503"/>
    </row>
    <row r="46" spans="1:28" s="6" customFormat="1" ht="13">
      <c r="A46" s="9" t="s">
        <v>749</v>
      </c>
      <c r="B46" s="154"/>
      <c r="C46" s="155"/>
      <c r="D46" s="155"/>
      <c r="E46" s="155"/>
      <c r="F46" s="155"/>
      <c r="G46" s="155"/>
      <c r="H46" s="155"/>
      <c r="I46" s="155"/>
      <c r="J46" s="155"/>
      <c r="K46" s="155"/>
      <c r="L46" s="155"/>
      <c r="M46" s="155"/>
      <c r="N46" s="155"/>
      <c r="O46" s="155"/>
      <c r="P46" s="154"/>
      <c r="Q46" s="503"/>
      <c r="R46" s="503"/>
      <c r="S46" s="503"/>
      <c r="T46" s="503"/>
      <c r="U46" s="503"/>
      <c r="V46" s="503"/>
      <c r="W46" s="503"/>
      <c r="X46" s="503"/>
      <c r="Y46" s="503"/>
      <c r="Z46" s="503"/>
      <c r="AA46" s="503"/>
      <c r="AB46" s="503"/>
    </row>
    <row r="47" spans="1:28" s="6" customFormat="1">
      <c r="A47" s="59" t="s">
        <v>750</v>
      </c>
      <c r="B47" s="154"/>
      <c r="C47" s="396">
        <f>HtUse!B77</f>
        <v>5.3</v>
      </c>
      <c r="D47" s="396">
        <f>HtUse!C77</f>
        <v>5.5</v>
      </c>
      <c r="E47" s="396">
        <f>HtUse!D77</f>
        <v>7</v>
      </c>
      <c r="F47" s="396">
        <f>HtUse!E77</f>
        <v>8.3000000000000007</v>
      </c>
      <c r="G47" s="396">
        <f>HtUse!F77</f>
        <v>11</v>
      </c>
      <c r="H47" s="396">
        <f>HtUse!G77</f>
        <v>13.5</v>
      </c>
      <c r="I47" s="396">
        <f>HtUse!H77</f>
        <v>15.5</v>
      </c>
      <c r="J47" s="396">
        <f>HtUse!I77</f>
        <v>15.2</v>
      </c>
      <c r="K47" s="396">
        <f>HtUse!J77</f>
        <v>13.3</v>
      </c>
      <c r="L47" s="396">
        <f>HtUse!K77</f>
        <v>10.4</v>
      </c>
      <c r="M47" s="396">
        <f>HtUse!L77</f>
        <v>7.5</v>
      </c>
      <c r="N47" s="396">
        <f>HtUse!M77</f>
        <v>6</v>
      </c>
      <c r="O47" s="155"/>
      <c r="P47" s="154"/>
      <c r="Q47" s="503"/>
      <c r="R47" s="503"/>
      <c r="S47" s="503"/>
      <c r="T47" s="503"/>
      <c r="U47" s="503"/>
      <c r="V47" s="503"/>
      <c r="W47" s="503"/>
      <c r="X47" s="503"/>
      <c r="Y47" s="503"/>
      <c r="Z47" s="503"/>
      <c r="AA47" s="503"/>
      <c r="AB47" s="503"/>
    </row>
    <row r="48" spans="1:28" s="6" customFormat="1">
      <c r="A48" s="59" t="s">
        <v>751</v>
      </c>
      <c r="B48" s="154"/>
      <c r="C48" s="387">
        <f>C47+$H$29*($G$6-C47)</f>
        <v>17.668499079450964</v>
      </c>
      <c r="D48" s="387">
        <f t="shared" ref="D48:N48" si="3">D47+$H$29*($G$6-D47)</f>
        <v>17.684580877526045</v>
      </c>
      <c r="E48" s="387">
        <f t="shared" si="3"/>
        <v>17.805194363089132</v>
      </c>
      <c r="F48" s="387">
        <f t="shared" si="3"/>
        <v>17.909726050577142</v>
      </c>
      <c r="G48" s="387">
        <f t="shared" si="3"/>
        <v>18.126830324590706</v>
      </c>
      <c r="H48" s="387">
        <f t="shared" si="3"/>
        <v>18.327852800529186</v>
      </c>
      <c r="I48" s="387">
        <f t="shared" si="3"/>
        <v>18.488670781279971</v>
      </c>
      <c r="J48" s="387">
        <f t="shared" si="3"/>
        <v>18.464548084167355</v>
      </c>
      <c r="K48" s="387">
        <f t="shared" si="3"/>
        <v>18.311771002454108</v>
      </c>
      <c r="L48" s="387">
        <f t="shared" si="3"/>
        <v>18.078584930365469</v>
      </c>
      <c r="M48" s="387">
        <f t="shared" si="3"/>
        <v>17.84539885827683</v>
      </c>
      <c r="N48" s="387">
        <f t="shared" si="3"/>
        <v>17.72478537271374</v>
      </c>
      <c r="O48" s="396">
        <f>AVERAGE(C48:G48,L48:N48)</f>
        <v>17.855449982073754</v>
      </c>
      <c r="P48" s="425"/>
      <c r="Q48" s="504">
        <f>C47+$Q$29*($G$6-C47)</f>
        <v>17.002247670533816</v>
      </c>
      <c r="R48" s="504">
        <f>D47+$Q$29*($G$6-D47)</f>
        <v>17.028236552756361</v>
      </c>
      <c r="S48" s="504">
        <f>E47+$Q$29*($G$6-E47)</f>
        <v>17.223153169425451</v>
      </c>
      <c r="T48" s="504">
        <f>F47+$Q$29*($G$6-F47)</f>
        <v>17.392080903871999</v>
      </c>
      <c r="U48" s="504">
        <f>G47+$Q$29*($G$6-G47)</f>
        <v>17.742930813876363</v>
      </c>
      <c r="V48" s="504"/>
      <c r="W48" s="504"/>
      <c r="X48" s="504"/>
      <c r="Y48" s="504"/>
      <c r="Z48" s="504">
        <f>L47+$Q$29*($G$6-L47)</f>
        <v>17.664964167208726</v>
      </c>
      <c r="AA48" s="504">
        <f>M47+$Q$29*($G$6-M47)</f>
        <v>17.288125374981817</v>
      </c>
      <c r="AB48" s="504">
        <f>N47+$Q$29*($G$6-N47)</f>
        <v>17.093208758312727</v>
      </c>
    </row>
    <row r="49" spans="1:28" s="6" customFormat="1">
      <c r="A49" s="154" t="s">
        <v>752</v>
      </c>
      <c r="B49" s="154"/>
      <c r="C49" s="157">
        <f>MAX(hlc*(C48-B77),0)</f>
        <v>1564.3591940322838</v>
      </c>
      <c r="D49" s="157">
        <f t="shared" ref="D49:N49" si="4">MAX(hlc*(D48-C77),0)</f>
        <v>1541.0973472808748</v>
      </c>
      <c r="E49" s="157">
        <f t="shared" si="4"/>
        <v>1366.6334966453039</v>
      </c>
      <c r="F49" s="157">
        <f t="shared" si="4"/>
        <v>1215.4314927611424</v>
      </c>
      <c r="G49" s="157">
        <f t="shared" si="4"/>
        <v>901.39656161711559</v>
      </c>
      <c r="H49" s="157">
        <f t="shared" si="4"/>
        <v>610.62347722449738</v>
      </c>
      <c r="I49" s="157">
        <f t="shared" si="4"/>
        <v>378.00500971040304</v>
      </c>
      <c r="J49" s="157">
        <f t="shared" si="4"/>
        <v>412.89777983751742</v>
      </c>
      <c r="K49" s="157">
        <f t="shared" si="4"/>
        <v>633.88532397590689</v>
      </c>
      <c r="L49" s="157">
        <f t="shared" si="4"/>
        <v>971.18210187134366</v>
      </c>
      <c r="M49" s="157">
        <f t="shared" si="4"/>
        <v>1308.4788797667804</v>
      </c>
      <c r="N49" s="157">
        <f t="shared" si="4"/>
        <v>1482.9427304023511</v>
      </c>
      <c r="O49" s="157">
        <f>AVERAGE(C49:G49,L49:N49)</f>
        <v>1293.9402255471496</v>
      </c>
      <c r="P49" s="398"/>
      <c r="Q49" s="505">
        <f>MAX(hlcRef*(Q48-B77),0)</f>
        <v>2537.1012714583699</v>
      </c>
      <c r="R49" s="505">
        <f>MAX(hlcRef*(R48-C77),0)</f>
        <v>2499.3748584998812</v>
      </c>
      <c r="S49" s="505">
        <f>MAX(hlcRef*(S48-D77),0)</f>
        <v>2216.4267613112152</v>
      </c>
      <c r="T49" s="505">
        <f>MAX(hlcRef*(T48-E77),0)</f>
        <v>1971.2050770810386</v>
      </c>
      <c r="U49" s="505">
        <f>MAX(hlcRef*(U48-F77),0)</f>
        <v>1461.8985021414401</v>
      </c>
      <c r="V49" s="505"/>
      <c r="W49" s="505"/>
      <c r="X49" s="505"/>
      <c r="Y49" s="505"/>
      <c r="Z49" s="505">
        <f>MAX(hlcRef*(Z48-K77),0)</f>
        <v>1575.0777410169062</v>
      </c>
      <c r="AA49" s="505">
        <f>MAX(hlcRef*(AA48-L77),0)</f>
        <v>2122.1107289149936</v>
      </c>
      <c r="AB49" s="505">
        <f>MAX(hlcRef*(AB48-M77),0)</f>
        <v>2405.0588261036596</v>
      </c>
    </row>
    <row r="50" spans="1:28" s="6" customFormat="1">
      <c r="A50" s="154" t="s">
        <v>753</v>
      </c>
      <c r="B50" s="154"/>
      <c r="C50" s="387">
        <f>IF(C49&gt;0,C44/C49,0)</f>
        <v>0.42166484053993675</v>
      </c>
      <c r="D50" s="387">
        <f t="shared" ref="D50:N50" si="5">IF(D49&gt;0,D44/D49,0)</f>
        <v>0.52910407089954903</v>
      </c>
      <c r="E50" s="387">
        <f t="shared" si="5"/>
        <v>0.76029462921065838</v>
      </c>
      <c r="F50" s="387">
        <f t="shared" si="5"/>
        <v>1.0679655787509683</v>
      </c>
      <c r="G50" s="387">
        <f t="shared" si="5"/>
        <v>1.693573949694352</v>
      </c>
      <c r="H50" s="387">
        <f t="shared" si="5"/>
        <v>2.5155490574661816</v>
      </c>
      <c r="I50" s="387">
        <f t="shared" si="5"/>
        <v>3.8558103336128737</v>
      </c>
      <c r="J50" s="387">
        <f t="shared" si="5"/>
        <v>3.317874331118718</v>
      </c>
      <c r="K50" s="387">
        <f t="shared" si="5"/>
        <v>1.8394220626302502</v>
      </c>
      <c r="L50" s="387">
        <f t="shared" si="5"/>
        <v>0.94823630740757148</v>
      </c>
      <c r="M50" s="387">
        <f t="shared" si="5"/>
        <v>0.53654459078769356</v>
      </c>
      <c r="N50" s="387">
        <f t="shared" si="5"/>
        <v>0.42787025897261238</v>
      </c>
      <c r="O50" s="155"/>
      <c r="P50" s="154"/>
      <c r="Q50" s="504">
        <f>IF(Q49&gt;0,Q44/Q49,0)</f>
        <v>0.33538464603291068</v>
      </c>
      <c r="R50" s="504">
        <f>IF(R49&gt;0,R44/R49,0)</f>
        <v>0.41640942587634755</v>
      </c>
      <c r="S50" s="504">
        <f>IF(S49&gt;0,S44/S49,0)</f>
        <v>0.59221718321122807</v>
      </c>
      <c r="T50" s="504">
        <f>IF(T49&gt;0,T44/T49,0)</f>
        <v>0.82568700781141535</v>
      </c>
      <c r="U50" s="504">
        <f>IF(U49&gt;0,U44/U49,0)</f>
        <v>1.3022491965680409</v>
      </c>
      <c r="V50" s="504"/>
      <c r="W50" s="504"/>
      <c r="X50" s="504"/>
      <c r="Y50" s="504"/>
      <c r="Z50" s="504">
        <f>IF(Z49&gt;0,Z44/Z49,0)</f>
        <v>0.74295519160990564</v>
      </c>
      <c r="AA50" s="504">
        <f>IF(AA49&gt;0,AA44/AA49,0)</f>
        <v>0.42537101084223028</v>
      </c>
      <c r="AB50" s="504">
        <f>IF(AB49&gt;0,AB44/AB49,0)</f>
        <v>0.34123907967244888</v>
      </c>
    </row>
    <row r="51" spans="1:28" s="6" customFormat="1">
      <c r="A51" s="154" t="s">
        <v>754</v>
      </c>
      <c r="B51" s="154"/>
      <c r="C51" s="387">
        <f>IF(C49=0,0,IF(C50&lt;&gt;1,(1-C50^$G$17)/(1-C50^($G$17+1)),$G$17/($G$17+1)))</f>
        <v>0.98984676946584338</v>
      </c>
      <c r="D51" s="387">
        <f t="shared" ref="D51:N51" si="6">IF(D49=0,0,IF(D50&lt;&gt;1,(1-D50^$G$17)/(1-D50^($G$17+1)),$G$17/($G$17+1)))</f>
        <v>0.97555487460547607</v>
      </c>
      <c r="E51" s="387">
        <f t="shared" si="6"/>
        <v>0.91604298675835427</v>
      </c>
      <c r="F51" s="387">
        <f t="shared" si="6"/>
        <v>0.79609709326234668</v>
      </c>
      <c r="G51" s="387">
        <f t="shared" si="6"/>
        <v>0.56895414227899221</v>
      </c>
      <c r="H51" s="387">
        <f t="shared" si="6"/>
        <v>0.39434510778888171</v>
      </c>
      <c r="I51" s="387">
        <f t="shared" si="6"/>
        <v>0.25900607976077128</v>
      </c>
      <c r="J51" s="387">
        <f t="shared" si="6"/>
        <v>0.3006371470500368</v>
      </c>
      <c r="K51" s="387">
        <f t="shared" si="6"/>
        <v>0.52895595942466178</v>
      </c>
      <c r="L51" s="387">
        <f t="shared" si="6"/>
        <v>0.84540916939371979</v>
      </c>
      <c r="M51" s="387">
        <f t="shared" si="6"/>
        <v>0.97425431977362653</v>
      </c>
      <c r="N51" s="387">
        <f t="shared" si="6"/>
        <v>0.98923652507559134</v>
      </c>
      <c r="O51" s="387">
        <f>AVERAGE(C51:G51,L51:N51)</f>
        <v>0.8819244850767437</v>
      </c>
      <c r="P51" s="388"/>
      <c r="Q51" s="504">
        <f>IF(Q49=0,0,IF(Q50&lt;&gt;1,(1-Q50^$Q$17)/(1-Q50^($Q$17+1)),$Q$17/($Q$17+1)))</f>
        <v>0.97854475075190339</v>
      </c>
      <c r="R51" s="504">
        <f t="shared" ref="R51:AB51" si="7">IF(R49=0,0,IF(R50&lt;&gt;1,(1-R50^$Q$17)/(1-R50^($Q$17+1)),$Q$17/($Q$17+1)))</f>
        <v>0.9621353529431198</v>
      </c>
      <c r="S51" s="504">
        <f t="shared" si="7"/>
        <v>0.91178703370825986</v>
      </c>
      <c r="T51" s="504">
        <f t="shared" si="7"/>
        <v>0.82627978336877761</v>
      </c>
      <c r="U51" s="504">
        <f t="shared" si="7"/>
        <v>0.65150917502869266</v>
      </c>
      <c r="V51" s="504"/>
      <c r="W51" s="504"/>
      <c r="X51" s="504"/>
      <c r="Y51" s="504"/>
      <c r="Z51" s="504">
        <f t="shared" si="7"/>
        <v>0.85786816230527774</v>
      </c>
      <c r="AA51" s="504">
        <f t="shared" si="7"/>
        <v>0.96002842657744614</v>
      </c>
      <c r="AB51" s="504">
        <f t="shared" si="7"/>
        <v>0.97752321504239215</v>
      </c>
    </row>
    <row r="52" spans="1:28" s="6" customFormat="1">
      <c r="A52" s="154" t="s">
        <v>755</v>
      </c>
      <c r="B52" s="154"/>
      <c r="C52" s="157">
        <f>IF(C49&gt;0,C44*C51,0)</f>
        <v>652.93784113303309</v>
      </c>
      <c r="D52" s="157">
        <f t="shared" ref="D52:N52" si="8">IF(D49&gt;0,D44*D51,0)</f>
        <v>795.4683033379863</v>
      </c>
      <c r="E52" s="157">
        <f t="shared" si="8"/>
        <v>951.80906769847991</v>
      </c>
      <c r="F52" s="157">
        <f t="shared" si="8"/>
        <v>1033.3650729295803</v>
      </c>
      <c r="G52" s="157">
        <f t="shared" si="8"/>
        <v>868.55500171191738</v>
      </c>
      <c r="H52" s="157">
        <f t="shared" si="8"/>
        <v>605.73510912624522</v>
      </c>
      <c r="I52" s="157">
        <f t="shared" si="8"/>
        <v>377.50540759939673</v>
      </c>
      <c r="J52" s="157">
        <f t="shared" si="8"/>
        <v>411.85573863583051</v>
      </c>
      <c r="K52" s="157">
        <f t="shared" si="8"/>
        <v>616.7534713555242</v>
      </c>
      <c r="L52" s="157">
        <f t="shared" si="8"/>
        <v>778.54586817309473</v>
      </c>
      <c r="M52" s="157">
        <f t="shared" si="8"/>
        <v>683.98232325097069</v>
      </c>
      <c r="N52" s="157">
        <f t="shared" si="8"/>
        <v>627.67758894516885</v>
      </c>
      <c r="O52" s="157">
        <f>AVERAGE(C52:G52,L52:N52)</f>
        <v>799.0426333975289</v>
      </c>
      <c r="P52" s="398"/>
      <c r="Q52" s="505">
        <f>IF(Q49&gt;0,Q44*Q51,0)</f>
        <v>832.64843705247188</v>
      </c>
      <c r="R52" s="505">
        <f>IF(R49&gt;0,R44*R51,0)</f>
        <v>1001.3551167513217</v>
      </c>
      <c r="S52" s="505">
        <f>IF(S49&gt;0,S44*S51,0)</f>
        <v>1196.8171433652892</v>
      </c>
      <c r="T52" s="505">
        <f>IF(T49&gt;0,T44*T51,0)</f>
        <v>1344.8516714404809</v>
      </c>
      <c r="U52" s="505">
        <f>IF(U49&gt;0,U44*U51,0)</f>
        <v>1240.3145986626289</v>
      </c>
      <c r="V52" s="505"/>
      <c r="W52" s="505"/>
      <c r="X52" s="505"/>
      <c r="Y52" s="505"/>
      <c r="Z52" s="505">
        <f>IF(Z49&gt;0,Z44*Z51,0)</f>
        <v>1003.8877765482874</v>
      </c>
      <c r="AA52" s="505">
        <f>IF(AA49&gt;0,AA44*AA51,0)</f>
        <v>866.60267067020902</v>
      </c>
      <c r="AB52" s="505">
        <f>IF(AB49&gt;0,AB44*AB51,0)</f>
        <v>802.25336160590746</v>
      </c>
    </row>
    <row r="53" spans="1:28" s="6" customFormat="1">
      <c r="A53" s="154" t="s">
        <v>756</v>
      </c>
      <c r="B53" s="154"/>
      <c r="C53" s="157">
        <f>C49-C52</f>
        <v>911.42135289925068</v>
      </c>
      <c r="D53" s="157">
        <f t="shared" ref="D53:N53" si="9">D49-D52</f>
        <v>745.62904394288853</v>
      </c>
      <c r="E53" s="157">
        <f t="shared" si="9"/>
        <v>414.82442894682401</v>
      </c>
      <c r="F53" s="157">
        <f t="shared" si="9"/>
        <v>182.06641983156214</v>
      </c>
      <c r="G53" s="157">
        <f t="shared" si="9"/>
        <v>32.84155990519821</v>
      </c>
      <c r="H53" s="157">
        <f t="shared" si="9"/>
        <v>4.8883680982521582</v>
      </c>
      <c r="I53" s="157">
        <f t="shared" si="9"/>
        <v>0.49960211100631113</v>
      </c>
      <c r="J53" s="157">
        <f t="shared" si="9"/>
        <v>1.0420412016869136</v>
      </c>
      <c r="K53" s="157">
        <f t="shared" si="9"/>
        <v>17.131852620382688</v>
      </c>
      <c r="L53" s="157">
        <f t="shared" si="9"/>
        <v>192.63623369824893</v>
      </c>
      <c r="M53" s="157">
        <f t="shared" si="9"/>
        <v>624.49655651580974</v>
      </c>
      <c r="N53" s="157">
        <f t="shared" si="9"/>
        <v>855.26514145718227</v>
      </c>
      <c r="O53" s="157">
        <f>AVERAGE(C53:G53,L53:N53)</f>
        <v>494.89759214962061</v>
      </c>
      <c r="P53" s="398"/>
      <c r="Q53" s="505">
        <f>Q49-Q52</f>
        <v>1704.4528344058981</v>
      </c>
      <c r="R53" s="505">
        <f>R49-R52</f>
        <v>1498.0197417485595</v>
      </c>
      <c r="S53" s="505">
        <f>S49-S52</f>
        <v>1019.6096179459259</v>
      </c>
      <c r="T53" s="505">
        <f>T49-T52</f>
        <v>626.35340564055764</v>
      </c>
      <c r="U53" s="505">
        <f>U49-U52</f>
        <v>221.58390347881118</v>
      </c>
      <c r="V53" s="505"/>
      <c r="W53" s="505"/>
      <c r="X53" s="505"/>
      <c r="Y53" s="505"/>
      <c r="Z53" s="505">
        <f>Z49-Z52</f>
        <v>571.18996446861877</v>
      </c>
      <c r="AA53" s="505">
        <f>AA49-AA52</f>
        <v>1255.5080582447845</v>
      </c>
      <c r="AB53" s="505">
        <f>AB49-AB52</f>
        <v>1602.8054644977522</v>
      </c>
    </row>
    <row r="54" spans="1:28" s="6" customFormat="1">
      <c r="A54" s="154" t="s">
        <v>757</v>
      </c>
      <c r="B54" s="154"/>
      <c r="C54" s="155">
        <v>31</v>
      </c>
      <c r="D54" s="155">
        <v>28</v>
      </c>
      <c r="E54" s="155">
        <v>31</v>
      </c>
      <c r="F54" s="155">
        <v>30</v>
      </c>
      <c r="G54" s="155">
        <v>31</v>
      </c>
      <c r="H54" s="155">
        <v>30</v>
      </c>
      <c r="I54" s="155">
        <v>31</v>
      </c>
      <c r="J54" s="155">
        <v>31</v>
      </c>
      <c r="K54" s="155">
        <v>30</v>
      </c>
      <c r="L54" s="155">
        <v>31</v>
      </c>
      <c r="M54" s="155">
        <v>30</v>
      </c>
      <c r="N54" s="155">
        <v>31</v>
      </c>
      <c r="O54" s="155"/>
      <c r="P54" s="154"/>
      <c r="Q54" s="503"/>
      <c r="R54" s="503"/>
      <c r="S54" s="503"/>
      <c r="T54" s="503"/>
      <c r="U54" s="503"/>
      <c r="V54" s="503"/>
      <c r="W54" s="503"/>
      <c r="X54" s="503"/>
      <c r="Y54" s="503"/>
      <c r="Z54" s="503"/>
      <c r="AA54" s="503"/>
      <c r="AB54" s="503"/>
    </row>
    <row r="55" spans="1:28" s="6" customFormat="1">
      <c r="A55" s="154" t="s">
        <v>758</v>
      </c>
      <c r="B55" s="154"/>
      <c r="C55" s="157">
        <f>(C53/1000)*24*C54</f>
        <v>678.09748655704254</v>
      </c>
      <c r="D55" s="157">
        <f t="shared" ref="D55:N55" si="10">(D53/1000)*24*D54</f>
        <v>501.06271752962107</v>
      </c>
      <c r="E55" s="157">
        <f t="shared" si="10"/>
        <v>308.62937513643703</v>
      </c>
      <c r="F55" s="157">
        <f t="shared" si="10"/>
        <v>131.08782227872473</v>
      </c>
      <c r="G55" s="157">
        <f t="shared" si="10"/>
        <v>24.434120569467463</v>
      </c>
      <c r="H55" s="157">
        <f>(H53/1000)*24*H54</f>
        <v>3.5196250307415538</v>
      </c>
      <c r="I55" s="157">
        <f>(I53/1000)*24*I54</f>
        <v>0.37170397058869553</v>
      </c>
      <c r="J55" s="157">
        <f>(J53/1000)*24*J54</f>
        <v>0.77527865405506369</v>
      </c>
      <c r="K55" s="157">
        <f t="shared" si="10"/>
        <v>12.334933886675536</v>
      </c>
      <c r="L55" s="157">
        <f t="shared" si="10"/>
        <v>143.32135787149721</v>
      </c>
      <c r="M55" s="157">
        <f t="shared" si="10"/>
        <v>449.63752069138303</v>
      </c>
      <c r="N55" s="157">
        <f t="shared" si="10"/>
        <v>636.31726524414364</v>
      </c>
      <c r="O55" s="157"/>
      <c r="P55" s="398"/>
      <c r="Q55" s="505">
        <f>(Q53/1000)*24*C54</f>
        <v>1268.1129087979882</v>
      </c>
      <c r="R55" s="505">
        <f>(R53/1000)*24*D54</f>
        <v>1006.6692664550319</v>
      </c>
      <c r="S55" s="505">
        <f>(S53/1000)*24*E54</f>
        <v>758.5895557517689</v>
      </c>
      <c r="T55" s="505">
        <f>(T53/1000)*24*F54</f>
        <v>450.97445206120153</v>
      </c>
      <c r="U55" s="505">
        <f>(U53/1000)*24*G54</f>
        <v>164.85842418823552</v>
      </c>
      <c r="V55" s="505"/>
      <c r="W55" s="505"/>
      <c r="X55" s="505"/>
      <c r="Y55" s="505"/>
      <c r="Z55" s="505">
        <f>(Z53/1000)*24*L54</f>
        <v>424.96533356465244</v>
      </c>
      <c r="AA55" s="505">
        <f>(AA53/1000)*24*M54</f>
        <v>903.96580193624482</v>
      </c>
      <c r="AB55" s="505">
        <f>(AB53/1000)*24*N54</f>
        <v>1192.4872655863276</v>
      </c>
    </row>
    <row r="56" spans="1:28" s="6" customFormat="1">
      <c r="A56" s="154"/>
      <c r="B56" s="154"/>
      <c r="C56" s="398"/>
      <c r="D56" s="398"/>
      <c r="E56" s="398"/>
      <c r="F56" s="398"/>
      <c r="G56" s="398"/>
      <c r="H56" s="398"/>
      <c r="I56" s="398"/>
      <c r="J56" s="398"/>
      <c r="K56" s="398"/>
      <c r="L56" s="398"/>
      <c r="M56" s="398"/>
      <c r="N56" s="398"/>
      <c r="O56" s="154"/>
      <c r="P56" s="154"/>
      <c r="Q56" s="503"/>
      <c r="R56" s="503"/>
      <c r="S56" s="503"/>
      <c r="T56" s="503"/>
      <c r="U56" s="503"/>
      <c r="V56" s="503"/>
      <c r="W56" s="503"/>
      <c r="X56" s="503"/>
      <c r="Y56" s="503"/>
      <c r="Z56" s="503"/>
      <c r="AA56" s="503"/>
      <c r="AB56" s="503"/>
    </row>
    <row r="57" spans="1:28" s="6" customFormat="1" ht="13">
      <c r="A57" s="154" t="s">
        <v>759</v>
      </c>
      <c r="B57" s="154"/>
      <c r="C57" s="154" t="s">
        <v>760</v>
      </c>
      <c r="D57" s="398"/>
      <c r="E57" s="154"/>
      <c r="F57" s="46">
        <f>SUM(C55:G55,L55:N55)</f>
        <v>2872.5876658783163</v>
      </c>
      <c r="G57" s="154"/>
      <c r="H57" s="154"/>
      <c r="I57" s="154"/>
      <c r="J57" s="154"/>
      <c r="K57" s="154"/>
      <c r="L57" s="154"/>
      <c r="M57" s="154"/>
      <c r="N57" s="154"/>
      <c r="O57" s="154"/>
      <c r="P57" s="154"/>
      <c r="Q57" s="505">
        <f>SUM(Q55:U55,Z55:AB55)</f>
        <v>6170.6230083414503</v>
      </c>
      <c r="R57" s="503"/>
      <c r="S57" s="503"/>
      <c r="T57" s="503"/>
      <c r="U57" s="503"/>
      <c r="V57" s="503"/>
      <c r="W57" s="503"/>
      <c r="X57" s="503"/>
      <c r="Y57" s="503"/>
      <c r="Z57" s="503"/>
      <c r="AA57" s="503"/>
      <c r="AB57" s="503"/>
    </row>
    <row r="58" spans="1:28" s="6" customFormat="1">
      <c r="A58" s="154"/>
      <c r="B58" s="154"/>
      <c r="C58" s="154" t="s">
        <v>761</v>
      </c>
      <c r="D58" s="154"/>
      <c r="E58" s="154"/>
      <c r="F58" s="157">
        <f>SUM(C55:N55)</f>
        <v>2889.5892074203771</v>
      </c>
      <c r="G58" s="154"/>
      <c r="H58" s="154"/>
      <c r="I58" s="154"/>
      <c r="J58" s="154"/>
      <c r="K58" s="154"/>
      <c r="L58" s="154"/>
      <c r="M58" s="154"/>
      <c r="N58" s="154"/>
      <c r="O58" s="154"/>
      <c r="P58" s="154"/>
      <c r="Q58" s="503"/>
      <c r="R58" s="503"/>
      <c r="S58" s="503"/>
      <c r="T58" s="503"/>
      <c r="U58" s="503"/>
      <c r="V58" s="503"/>
      <c r="W58" s="503"/>
      <c r="X58" s="503"/>
      <c r="Y58" s="503"/>
      <c r="Z58" s="503"/>
      <c r="AA58" s="503"/>
      <c r="AB58" s="503"/>
    </row>
    <row r="59" spans="1:28" s="6" customFormat="1">
      <c r="A59" s="154"/>
      <c r="B59" s="154"/>
      <c r="C59" s="154"/>
      <c r="D59" s="154"/>
      <c r="E59" s="154"/>
      <c r="F59" s="154"/>
      <c r="G59" s="154"/>
      <c r="H59" s="154"/>
      <c r="I59" s="154"/>
      <c r="J59" s="154"/>
      <c r="K59" s="154"/>
      <c r="L59" s="154"/>
      <c r="M59" s="154"/>
      <c r="N59" s="154"/>
      <c r="O59" s="154"/>
      <c r="P59" s="154"/>
      <c r="Q59" s="503"/>
      <c r="R59" s="503"/>
      <c r="S59" s="503"/>
      <c r="T59" s="503"/>
      <c r="U59" s="503"/>
      <c r="V59" s="503"/>
      <c r="W59" s="503"/>
      <c r="X59" s="503"/>
      <c r="Y59" s="503"/>
      <c r="Z59" s="503"/>
      <c r="AA59" s="503"/>
      <c r="AB59" s="503"/>
    </row>
    <row r="60" spans="1:28" s="6" customFormat="1">
      <c r="A60" s="154"/>
      <c r="B60" s="154"/>
      <c r="C60" s="154"/>
      <c r="D60" s="154"/>
      <c r="E60" s="154"/>
      <c r="F60" s="154"/>
      <c r="G60" s="154"/>
      <c r="H60" s="154"/>
      <c r="I60" s="154"/>
      <c r="J60" s="154"/>
      <c r="K60" s="154"/>
      <c r="L60" s="154"/>
      <c r="M60" s="154"/>
      <c r="N60" s="154"/>
      <c r="O60" s="154"/>
      <c r="P60" s="154"/>
      <c r="Q60" s="503"/>
      <c r="R60" s="503"/>
      <c r="S60" s="503"/>
      <c r="T60" s="503"/>
      <c r="U60" s="503"/>
      <c r="V60" s="503"/>
      <c r="W60" s="503"/>
      <c r="X60" s="503"/>
      <c r="Y60" s="503"/>
      <c r="Z60" s="503"/>
      <c r="AA60" s="503"/>
      <c r="AB60" s="503"/>
    </row>
    <row r="61" spans="1:28" s="6" customFormat="1">
      <c r="A61" s="154"/>
      <c r="B61" s="154"/>
      <c r="C61" s="154"/>
      <c r="D61" s="154"/>
      <c r="E61" s="154"/>
      <c r="F61" s="154"/>
      <c r="G61" s="154"/>
      <c r="H61" s="154"/>
      <c r="I61" s="154"/>
      <c r="J61" s="154"/>
      <c r="K61" s="154"/>
      <c r="L61" s="154"/>
      <c r="M61" s="154"/>
      <c r="N61" s="154"/>
      <c r="O61" s="154"/>
      <c r="P61" s="154"/>
      <c r="Q61" s="503"/>
      <c r="R61" s="503"/>
      <c r="S61" s="503"/>
      <c r="T61" s="503"/>
      <c r="U61" s="503"/>
      <c r="V61" s="503"/>
      <c r="W61" s="503"/>
      <c r="X61" s="503"/>
      <c r="Y61" s="503"/>
      <c r="Z61" s="503"/>
      <c r="AA61" s="503"/>
      <c r="AB61" s="503"/>
    </row>
    <row r="62" spans="1:28" s="6" customFormat="1">
      <c r="A62" s="25" t="s">
        <v>762</v>
      </c>
      <c r="B62" s="154"/>
      <c r="C62" s="388"/>
      <c r="D62" s="388"/>
      <c r="E62" s="388"/>
      <c r="F62" s="388"/>
      <c r="G62" s="388"/>
      <c r="H62" s="388"/>
      <c r="I62" s="388"/>
      <c r="J62" s="388"/>
      <c r="K62" s="388"/>
      <c r="L62" s="388"/>
      <c r="M62" s="388"/>
      <c r="N62" s="388"/>
      <c r="O62" s="26" t="s">
        <v>763</v>
      </c>
      <c r="P62" s="388"/>
      <c r="Q62" s="503"/>
      <c r="R62" s="503"/>
      <c r="S62" s="503"/>
      <c r="T62" s="503"/>
      <c r="U62" s="503"/>
      <c r="V62" s="503"/>
      <c r="W62" s="503"/>
      <c r="X62" s="503"/>
      <c r="Y62" s="503"/>
      <c r="Z62" s="503"/>
      <c r="AA62" s="503"/>
      <c r="AB62" s="503"/>
    </row>
    <row r="63" spans="1:28" s="6" customFormat="1">
      <c r="A63" s="25" t="s">
        <v>764</v>
      </c>
      <c r="B63" s="25"/>
      <c r="C63" s="27">
        <f>Light!$E$70*C51</f>
        <v>498.42963737984576</v>
      </c>
      <c r="D63" s="27">
        <f>Light!$E$70*D51</f>
        <v>491.23306494816745</v>
      </c>
      <c r="E63" s="27">
        <f>Light!$E$70*E51</f>
        <v>461.26631696813627</v>
      </c>
      <c r="F63" s="27">
        <f>Light!$E$70*F51</f>
        <v>400.86849576528624</v>
      </c>
      <c r="G63" s="27">
        <f>Light!$E$70*G51</f>
        <v>286.49243051519085</v>
      </c>
      <c r="H63" s="27">
        <f>Light!$E$70*H51</f>
        <v>198.56941007525404</v>
      </c>
      <c r="I63" s="27">
        <f>Light!$E$70*I51</f>
        <v>130.42049577431223</v>
      </c>
      <c r="J63" s="27">
        <f>Light!$E$70*J51</f>
        <v>151.38349571815414</v>
      </c>
      <c r="K63" s="27">
        <f>Light!$E$70*K51</f>
        <v>266.35165682079872</v>
      </c>
      <c r="L63" s="27">
        <f>Light!$E$70*L51</f>
        <v>425.6992079348791</v>
      </c>
      <c r="M63" s="27">
        <f>Light!$E$70*M51</f>
        <v>490.57818068402906</v>
      </c>
      <c r="N63" s="27">
        <f>Light!$E$70*N51</f>
        <v>498.12235356630106</v>
      </c>
      <c r="O63" s="27">
        <f>SUM(C63:N63)</f>
        <v>4299.4147461503553</v>
      </c>
      <c r="P63" s="398"/>
      <c r="Q63" s="503"/>
      <c r="R63" s="503"/>
      <c r="S63" s="503"/>
      <c r="T63" s="503"/>
      <c r="U63" s="503"/>
      <c r="V63" s="503"/>
      <c r="W63" s="503"/>
      <c r="X63" s="503"/>
      <c r="Y63" s="503"/>
      <c r="Z63" s="503"/>
      <c r="AA63" s="503"/>
      <c r="AB63" s="503"/>
    </row>
    <row r="64" spans="1:28" s="6" customFormat="1">
      <c r="A64" s="25" t="s">
        <v>765</v>
      </c>
      <c r="B64" s="25"/>
      <c r="C64" s="27">
        <f>C42*C51</f>
        <v>154.50820375318725</v>
      </c>
      <c r="D64" s="27">
        <f t="shared" ref="D64:N64" si="11">D42*D51</f>
        <v>304.2352383898189</v>
      </c>
      <c r="E64" s="27">
        <f t="shared" si="11"/>
        <v>490.54275073034358</v>
      </c>
      <c r="F64" s="27">
        <f t="shared" si="11"/>
        <v>632.49657716429408</v>
      </c>
      <c r="G64" s="27">
        <f t="shared" si="11"/>
        <v>582.06257119672637</v>
      </c>
      <c r="H64" s="27">
        <f t="shared" si="11"/>
        <v>407.16569905099124</v>
      </c>
      <c r="I64" s="27">
        <f t="shared" si="11"/>
        <v>247.08491182508453</v>
      </c>
      <c r="J64" s="27">
        <f t="shared" si="11"/>
        <v>260.47224291767634</v>
      </c>
      <c r="K64" s="27">
        <f t="shared" si="11"/>
        <v>350.40181453472536</v>
      </c>
      <c r="L64" s="27">
        <f t="shared" si="11"/>
        <v>352.84666023821563</v>
      </c>
      <c r="M64" s="27">
        <f t="shared" si="11"/>
        <v>193.4041425669416</v>
      </c>
      <c r="N64" s="27">
        <f t="shared" si="11"/>
        <v>129.55523537886785</v>
      </c>
      <c r="O64" s="27">
        <f>SUM(C64:N64)</f>
        <v>4104.7760477468728</v>
      </c>
      <c r="P64" s="398"/>
      <c r="Q64" s="503"/>
      <c r="R64" s="503"/>
      <c r="S64" s="503"/>
      <c r="T64" s="503"/>
      <c r="U64" s="503"/>
      <c r="V64" s="503"/>
      <c r="W64" s="503"/>
      <c r="X64" s="503"/>
      <c r="Y64" s="503"/>
      <c r="Z64" s="503"/>
      <c r="AA64" s="503"/>
      <c r="AB64" s="503"/>
    </row>
    <row r="65" spans="1:28" s="6" customFormat="1">
      <c r="A65" s="154"/>
      <c r="B65" s="154"/>
      <c r="C65" s="154"/>
      <c r="D65" s="154"/>
      <c r="E65" s="154"/>
      <c r="F65" s="154"/>
      <c r="G65" s="154"/>
      <c r="H65" s="154"/>
      <c r="I65" s="154"/>
      <c r="J65" s="154"/>
      <c r="K65" s="154"/>
      <c r="L65" s="154"/>
      <c r="M65" s="154"/>
      <c r="N65" s="154"/>
      <c r="O65" s="154"/>
      <c r="P65" s="154"/>
      <c r="Q65" s="503"/>
      <c r="R65" s="503"/>
      <c r="S65" s="503"/>
      <c r="T65" s="503"/>
      <c r="U65" s="503"/>
      <c r="V65" s="503"/>
      <c r="W65" s="503"/>
      <c r="X65" s="503"/>
      <c r="Y65" s="503"/>
      <c r="Z65" s="503"/>
      <c r="AA65" s="503"/>
      <c r="AB65" s="503"/>
    </row>
    <row r="66" spans="1:28" s="6" customFormat="1">
      <c r="A66" s="154"/>
      <c r="B66" s="154"/>
      <c r="C66" s="154"/>
      <c r="D66" s="154"/>
      <c r="E66" s="154"/>
      <c r="F66" s="154"/>
      <c r="G66" s="154"/>
      <c r="H66" s="154"/>
      <c r="I66" s="154"/>
      <c r="J66" s="154"/>
      <c r="K66" s="154"/>
      <c r="L66" s="154"/>
      <c r="M66" s="154"/>
      <c r="N66" s="154"/>
      <c r="O66" s="154"/>
      <c r="P66" s="154"/>
      <c r="Q66" s="503"/>
      <c r="R66" s="503"/>
      <c r="S66" s="503"/>
      <c r="T66" s="503"/>
      <c r="U66" s="503"/>
      <c r="V66" s="503"/>
      <c r="W66" s="503"/>
      <c r="X66" s="503"/>
      <c r="Y66" s="503"/>
      <c r="Z66" s="503"/>
      <c r="AA66" s="503"/>
      <c r="AB66" s="503"/>
    </row>
    <row r="67" spans="1:28" s="6" customFormat="1">
      <c r="A67" s="154"/>
      <c r="B67" s="154"/>
      <c r="C67" s="154"/>
      <c r="D67" s="154"/>
      <c r="E67" s="154"/>
      <c r="F67" s="154"/>
      <c r="G67" s="154"/>
      <c r="H67" s="154"/>
      <c r="I67" s="154"/>
      <c r="J67" s="154"/>
      <c r="K67" s="154"/>
      <c r="L67" s="154"/>
      <c r="M67" s="154"/>
      <c r="N67" s="154"/>
      <c r="O67" s="154"/>
      <c r="P67" s="154"/>
      <c r="Q67" s="503"/>
      <c r="R67" s="503"/>
      <c r="S67" s="503"/>
      <c r="T67" s="503"/>
      <c r="U67" s="503"/>
      <c r="V67" s="503"/>
      <c r="W67" s="503"/>
      <c r="X67" s="503"/>
      <c r="Y67" s="503"/>
      <c r="Z67" s="503"/>
      <c r="AA67" s="503"/>
      <c r="AB67" s="503"/>
    </row>
    <row r="68" spans="1:28" s="6" customFormat="1">
      <c r="A68" s="154"/>
      <c r="B68" s="154"/>
      <c r="C68" s="154"/>
      <c r="D68" s="154"/>
      <c r="E68" s="154"/>
      <c r="F68" s="154"/>
      <c r="G68" s="154"/>
      <c r="H68" s="154"/>
      <c r="I68" s="154"/>
      <c r="J68" s="154"/>
      <c r="K68" s="154"/>
      <c r="L68" s="154"/>
      <c r="M68" s="154"/>
      <c r="N68" s="154"/>
      <c r="O68" s="154"/>
      <c r="P68" s="154"/>
      <c r="Q68" s="503"/>
      <c r="R68" s="503"/>
      <c r="S68" s="503"/>
      <c r="T68" s="503"/>
      <c r="U68" s="503"/>
      <c r="V68" s="503"/>
      <c r="W68" s="503"/>
      <c r="X68" s="503"/>
      <c r="Y68" s="503"/>
      <c r="Z68" s="503"/>
      <c r="AA68" s="503"/>
      <c r="AB68" s="503"/>
    </row>
    <row r="69" spans="1:28" s="6" customFormat="1">
      <c r="A69" s="154"/>
      <c r="B69" s="154"/>
      <c r="C69" s="154"/>
      <c r="D69" s="154"/>
      <c r="E69" s="154"/>
      <c r="F69" s="154"/>
      <c r="G69" s="154"/>
      <c r="H69" s="154"/>
      <c r="I69" s="154"/>
      <c r="J69" s="154"/>
      <c r="K69" s="154"/>
      <c r="L69" s="154"/>
      <c r="M69" s="154"/>
      <c r="N69" s="154"/>
      <c r="O69" s="154"/>
      <c r="P69" s="154"/>
      <c r="Q69" s="503"/>
      <c r="R69" s="503"/>
      <c r="S69" s="503"/>
      <c r="T69" s="503"/>
      <c r="U69" s="503"/>
      <c r="V69" s="503"/>
      <c r="W69" s="503"/>
      <c r="X69" s="503"/>
      <c r="Y69" s="503"/>
      <c r="Z69" s="503"/>
      <c r="AA69" s="503"/>
      <c r="AB69" s="503"/>
    </row>
    <row r="70" spans="1:28" s="6" customFormat="1">
      <c r="A70" s="154"/>
      <c r="B70" s="154"/>
      <c r="C70" s="154"/>
      <c r="D70" s="154"/>
      <c r="E70" s="154"/>
      <c r="F70" s="154"/>
      <c r="G70" s="154"/>
      <c r="H70" s="154"/>
      <c r="I70" s="154"/>
      <c r="J70" s="154"/>
      <c r="K70" s="154"/>
      <c r="L70" s="154"/>
      <c r="M70" s="154"/>
      <c r="N70" s="154"/>
      <c r="O70" s="154"/>
      <c r="P70" s="154"/>
      <c r="Q70" s="503"/>
      <c r="R70" s="503"/>
      <c r="S70" s="503"/>
      <c r="T70" s="503"/>
      <c r="U70" s="503"/>
      <c r="V70" s="503"/>
      <c r="W70" s="503"/>
      <c r="X70" s="503"/>
      <c r="Y70" s="503"/>
      <c r="Z70" s="503"/>
      <c r="AA70" s="503"/>
      <c r="AB70" s="503"/>
    </row>
    <row r="71" spans="1:28" s="6" customFormat="1">
      <c r="A71" s="154"/>
      <c r="B71" s="154"/>
      <c r="C71" s="154"/>
      <c r="D71" s="154"/>
      <c r="E71" s="154"/>
      <c r="F71" s="154"/>
      <c r="G71" s="154"/>
      <c r="H71" s="154"/>
      <c r="I71" s="154"/>
      <c r="J71" s="154"/>
      <c r="K71" s="154"/>
      <c r="L71" s="154"/>
      <c r="M71" s="154"/>
      <c r="N71" s="154"/>
      <c r="O71" s="154"/>
      <c r="P71" s="154"/>
      <c r="Q71" s="503"/>
      <c r="R71" s="503"/>
      <c r="S71" s="503"/>
      <c r="T71" s="503"/>
      <c r="U71" s="503"/>
      <c r="V71" s="503"/>
      <c r="W71" s="503"/>
      <c r="X71" s="503"/>
      <c r="Y71" s="503"/>
      <c r="Z71" s="503"/>
      <c r="AA71" s="503"/>
      <c r="AB71" s="503"/>
    </row>
    <row r="72" spans="1:28" s="6" customFormat="1">
      <c r="A72" s="154"/>
      <c r="B72" s="154"/>
      <c r="C72" s="154"/>
      <c r="D72" s="154"/>
      <c r="E72" s="154"/>
      <c r="F72" s="154"/>
      <c r="G72" s="154"/>
      <c r="H72" s="154"/>
      <c r="I72" s="154"/>
      <c r="J72" s="154"/>
      <c r="K72" s="154"/>
      <c r="L72" s="154"/>
      <c r="M72" s="154"/>
      <c r="N72" s="154"/>
      <c r="O72" s="154"/>
      <c r="P72" s="154"/>
      <c r="Q72" s="503"/>
      <c r="R72" s="503"/>
      <c r="S72" s="503"/>
      <c r="T72" s="503"/>
      <c r="U72" s="503"/>
      <c r="V72" s="503"/>
      <c r="W72" s="503"/>
      <c r="X72" s="503"/>
      <c r="Y72" s="503"/>
      <c r="Z72" s="503"/>
      <c r="AA72" s="503"/>
      <c r="AB72" s="503"/>
    </row>
    <row r="73" spans="1:28" s="6" customFormat="1">
      <c r="A73" s="154"/>
      <c r="B73" s="154"/>
      <c r="C73" s="154"/>
      <c r="D73" s="154"/>
      <c r="E73" s="154"/>
      <c r="F73" s="154"/>
      <c r="G73" s="154"/>
      <c r="H73" s="154"/>
      <c r="I73" s="154"/>
      <c r="J73" s="154"/>
      <c r="K73" s="154"/>
      <c r="L73" s="154"/>
      <c r="M73" s="154"/>
      <c r="N73" s="154"/>
      <c r="O73" s="154"/>
      <c r="P73" s="154"/>
      <c r="Q73" s="503"/>
      <c r="R73" s="503"/>
      <c r="S73" s="503"/>
      <c r="T73" s="503"/>
      <c r="U73" s="503"/>
      <c r="V73" s="503"/>
      <c r="W73" s="503"/>
      <c r="X73" s="503"/>
      <c r="Y73" s="503"/>
      <c r="Z73" s="503"/>
      <c r="AA73" s="503"/>
      <c r="AB73" s="503"/>
    </row>
    <row r="74" spans="1:28" s="7" customFormat="1" ht="13">
      <c r="A74" s="28" t="s">
        <v>766</v>
      </c>
      <c r="B74" s="440"/>
      <c r="C74" s="440"/>
      <c r="D74" s="440"/>
      <c r="E74" s="440"/>
      <c r="F74" s="440"/>
      <c r="G74" s="440"/>
      <c r="H74" s="440"/>
      <c r="I74" s="440"/>
      <c r="J74" s="440"/>
      <c r="K74" s="440"/>
      <c r="L74" s="440"/>
      <c r="M74" s="440"/>
      <c r="N74" s="440"/>
      <c r="O74" s="440"/>
      <c r="P74" s="440"/>
      <c r="Q74" s="506"/>
      <c r="R74" s="506"/>
      <c r="S74" s="506"/>
      <c r="T74" s="506"/>
      <c r="U74" s="506"/>
      <c r="V74" s="506"/>
      <c r="W74" s="506"/>
      <c r="X74" s="506"/>
      <c r="Y74" s="506"/>
      <c r="Z74" s="506"/>
      <c r="AA74" s="506"/>
      <c r="AB74" s="506"/>
    </row>
    <row r="75" spans="1:28" s="7" customFormat="1" ht="13">
      <c r="A75" s="28" t="s">
        <v>767</v>
      </c>
      <c r="B75" s="440"/>
      <c r="C75" s="440"/>
      <c r="D75" s="440"/>
      <c r="E75" s="440"/>
      <c r="F75" s="440"/>
      <c r="G75" s="440"/>
      <c r="H75" s="440"/>
      <c r="I75" s="440"/>
      <c r="J75" s="440"/>
      <c r="K75" s="440"/>
      <c r="L75" s="440"/>
      <c r="M75" s="440"/>
      <c r="N75" s="440"/>
      <c r="O75" s="440"/>
      <c r="P75" s="440"/>
      <c r="Q75" s="506"/>
      <c r="R75" s="506"/>
      <c r="S75" s="506"/>
      <c r="T75" s="506"/>
      <c r="U75" s="506"/>
      <c r="V75" s="506"/>
      <c r="W75" s="506"/>
      <c r="X75" s="506"/>
      <c r="Y75" s="506"/>
      <c r="Z75" s="506"/>
      <c r="AA75" s="506"/>
      <c r="AB75" s="506"/>
    </row>
    <row r="76" spans="1:28" s="7" customFormat="1">
      <c r="A76" s="440" t="s">
        <v>743</v>
      </c>
      <c r="B76" s="440" t="s">
        <v>638</v>
      </c>
      <c r="C76" s="440" t="s">
        <v>639</v>
      </c>
      <c r="D76" s="440" t="s">
        <v>640</v>
      </c>
      <c r="E76" s="440" t="s">
        <v>641</v>
      </c>
      <c r="F76" s="440" t="s">
        <v>642</v>
      </c>
      <c r="G76" s="440" t="s">
        <v>643</v>
      </c>
      <c r="H76" s="440" t="s">
        <v>644</v>
      </c>
      <c r="I76" s="440" t="s">
        <v>645</v>
      </c>
      <c r="J76" s="440" t="s">
        <v>646</v>
      </c>
      <c r="K76" s="440" t="s">
        <v>647</v>
      </c>
      <c r="L76" s="440" t="s">
        <v>648</v>
      </c>
      <c r="M76" s="440" t="s">
        <v>649</v>
      </c>
      <c r="N76" s="440" t="s">
        <v>768</v>
      </c>
      <c r="O76" s="440" t="s">
        <v>769</v>
      </c>
      <c r="P76" s="440"/>
      <c r="Q76" s="506"/>
      <c r="R76" s="506"/>
      <c r="S76" s="506"/>
      <c r="T76" s="506"/>
      <c r="U76" s="506"/>
      <c r="V76" s="506"/>
      <c r="W76" s="506"/>
      <c r="X76" s="506"/>
      <c r="Y76" s="506"/>
      <c r="Z76" s="506"/>
      <c r="AA76" s="506"/>
      <c r="AB76" s="506"/>
    </row>
    <row r="77" spans="1:28" s="7" customFormat="1">
      <c r="A77" s="440" t="s">
        <v>770</v>
      </c>
      <c r="B77" s="440">
        <v>5.3</v>
      </c>
      <c r="C77" s="440">
        <v>5.5</v>
      </c>
      <c r="D77" s="440">
        <v>7</v>
      </c>
      <c r="E77" s="440">
        <v>8.3000000000000007</v>
      </c>
      <c r="F77" s="440">
        <v>11</v>
      </c>
      <c r="G77" s="440">
        <v>13.5</v>
      </c>
      <c r="H77" s="440">
        <v>15.5</v>
      </c>
      <c r="I77" s="440">
        <v>15.2</v>
      </c>
      <c r="J77" s="440">
        <v>13.3</v>
      </c>
      <c r="K77" s="440">
        <v>10.4</v>
      </c>
      <c r="L77" s="440">
        <v>7.5</v>
      </c>
      <c r="M77" s="440">
        <v>6</v>
      </c>
      <c r="N77" s="441">
        <f>AVERAGE(B77:F77,K77:M77)</f>
        <v>7.625</v>
      </c>
      <c r="O77" s="441">
        <f>AVERAGE(B77:M77)</f>
        <v>9.875</v>
      </c>
      <c r="P77" s="441"/>
      <c r="Q77" s="506"/>
      <c r="R77" s="506"/>
      <c r="S77" s="506"/>
      <c r="T77" s="506"/>
      <c r="U77" s="506"/>
      <c r="V77" s="506"/>
      <c r="W77" s="506"/>
      <c r="X77" s="506"/>
      <c r="Y77" s="506"/>
      <c r="Z77" s="506"/>
      <c r="AA77" s="506"/>
      <c r="AB77" s="506"/>
    </row>
    <row r="78" spans="1:28" s="7" customFormat="1">
      <c r="A78" s="440"/>
      <c r="B78" s="392"/>
      <c r="C78" s="440"/>
      <c r="D78" s="440"/>
      <c r="E78" s="440"/>
      <c r="F78" s="440"/>
      <c r="G78" s="440"/>
      <c r="H78" s="440"/>
      <c r="I78" s="440"/>
      <c r="J78" s="440"/>
      <c r="K78" s="440"/>
      <c r="L78" s="440"/>
      <c r="M78" s="440"/>
      <c r="N78" s="441"/>
      <c r="O78" s="441"/>
      <c r="P78" s="441"/>
      <c r="Q78" s="506"/>
      <c r="R78" s="506"/>
      <c r="S78" s="506"/>
      <c r="T78" s="506"/>
      <c r="U78" s="506"/>
      <c r="V78" s="506"/>
      <c r="W78" s="506"/>
      <c r="X78" s="506"/>
      <c r="Y78" s="506"/>
      <c r="Z78" s="506"/>
      <c r="AA78" s="506"/>
      <c r="AB78" s="506"/>
    </row>
    <row r="79" spans="1:28" s="7" customFormat="1">
      <c r="A79" s="440"/>
      <c r="B79" s="440"/>
      <c r="C79" s="440"/>
      <c r="D79" s="440"/>
      <c r="E79" s="440"/>
      <c r="F79" s="440"/>
      <c r="G79" s="440"/>
      <c r="H79" s="440"/>
      <c r="I79" s="440"/>
      <c r="J79" s="440"/>
      <c r="K79" s="440"/>
      <c r="L79" s="440"/>
      <c r="M79" s="440"/>
      <c r="N79" s="440"/>
      <c r="O79" s="440"/>
      <c r="P79" s="440"/>
      <c r="Q79" s="506"/>
      <c r="R79" s="506"/>
      <c r="S79" s="506"/>
      <c r="T79" s="506"/>
      <c r="U79" s="506"/>
      <c r="V79" s="506"/>
      <c r="W79" s="506"/>
      <c r="X79" s="506"/>
      <c r="Y79" s="506"/>
      <c r="Z79" s="506"/>
      <c r="AA79" s="506"/>
      <c r="AB79" s="506"/>
    </row>
    <row r="80" spans="1:28" s="7" customFormat="1" ht="13">
      <c r="A80" s="3" t="s">
        <v>771</v>
      </c>
      <c r="B80" s="440"/>
      <c r="C80" s="440"/>
      <c r="D80" s="440"/>
      <c r="E80" s="440"/>
      <c r="F80" s="440"/>
      <c r="G80" s="440"/>
      <c r="H80" s="440"/>
      <c r="I80" s="440"/>
      <c r="J80" s="440"/>
      <c r="K80" s="440"/>
      <c r="L80" s="440"/>
      <c r="M80" s="440"/>
      <c r="N80" s="440"/>
      <c r="O80" s="440"/>
      <c r="P80" s="440"/>
      <c r="Q80" s="506"/>
      <c r="R80" s="506"/>
      <c r="S80" s="506"/>
      <c r="T80" s="506"/>
      <c r="U80" s="506"/>
      <c r="V80" s="506"/>
      <c r="W80" s="506"/>
      <c r="X80" s="506"/>
      <c r="Y80" s="506"/>
      <c r="Z80" s="506"/>
      <c r="AA80" s="506"/>
      <c r="AB80" s="506"/>
    </row>
    <row r="81" spans="1:32" s="7" customFormat="1">
      <c r="A81" s="440" t="s">
        <v>743</v>
      </c>
      <c r="B81" s="440" t="s">
        <v>638</v>
      </c>
      <c r="C81" s="440" t="s">
        <v>639</v>
      </c>
      <c r="D81" s="440" t="s">
        <v>640</v>
      </c>
      <c r="E81" s="440" t="s">
        <v>641</v>
      </c>
      <c r="F81" s="440" t="s">
        <v>642</v>
      </c>
      <c r="G81" s="440" t="s">
        <v>643</v>
      </c>
      <c r="H81" s="440" t="s">
        <v>644</v>
      </c>
      <c r="I81" s="440" t="s">
        <v>645</v>
      </c>
      <c r="J81" s="440" t="s">
        <v>646</v>
      </c>
      <c r="K81" s="440" t="s">
        <v>647</v>
      </c>
      <c r="L81" s="440" t="s">
        <v>648</v>
      </c>
      <c r="M81" s="440" t="s">
        <v>649</v>
      </c>
      <c r="N81" s="440" t="s">
        <v>768</v>
      </c>
      <c r="O81" s="440" t="s">
        <v>769</v>
      </c>
      <c r="P81" s="440"/>
      <c r="Q81" s="506"/>
      <c r="R81" s="506"/>
      <c r="S81" s="506"/>
      <c r="T81" s="506"/>
      <c r="U81" s="506"/>
      <c r="V81" s="506"/>
      <c r="W81" s="506"/>
      <c r="X81" s="506"/>
      <c r="Y81" s="506"/>
      <c r="Z81" s="506"/>
      <c r="AA81" s="506"/>
      <c r="AB81" s="506"/>
      <c r="AC81" s="115"/>
      <c r="AD81" s="115"/>
      <c r="AE81" s="115"/>
      <c r="AF81" s="115"/>
    </row>
    <row r="82" spans="1:32" s="7" customFormat="1">
      <c r="A82" s="440" t="s">
        <v>360</v>
      </c>
      <c r="B82" s="442">
        <v>0.27</v>
      </c>
      <c r="C82" s="442">
        <v>0.51</v>
      </c>
      <c r="D82" s="442">
        <v>0.91</v>
      </c>
      <c r="E82" s="442">
        <v>1.36</v>
      </c>
      <c r="F82" s="442">
        <v>1.89</v>
      </c>
      <c r="G82" s="442">
        <v>2.12</v>
      </c>
      <c r="H82" s="442">
        <v>1.94</v>
      </c>
      <c r="I82" s="442">
        <v>1.57</v>
      </c>
      <c r="J82" s="442">
        <v>1.06</v>
      </c>
      <c r="K82" s="442">
        <v>0.61</v>
      </c>
      <c r="L82" s="442">
        <v>0.33</v>
      </c>
      <c r="M82" s="442">
        <v>0.2</v>
      </c>
      <c r="N82" s="442">
        <f t="shared" ref="N82:N87" si="12">AVERAGE(B82:F82,K82:M82)</f>
        <v>0.76</v>
      </c>
      <c r="O82" s="442">
        <f t="shared" ref="O82:O87" si="13">AVERAGE(B82:M82)</f>
        <v>1.0641666666666667</v>
      </c>
      <c r="P82" s="442"/>
      <c r="Q82" s="506"/>
      <c r="R82" s="506"/>
      <c r="S82" s="506"/>
      <c r="T82" s="506"/>
      <c r="U82" s="506"/>
      <c r="V82" s="506"/>
      <c r="W82" s="506"/>
      <c r="X82" s="506"/>
      <c r="Y82" s="506"/>
      <c r="Z82" s="506"/>
      <c r="AA82" s="506"/>
      <c r="AB82" s="506"/>
      <c r="AC82" s="115"/>
      <c r="AD82" s="115"/>
      <c r="AE82" s="115"/>
      <c r="AF82" s="115"/>
    </row>
    <row r="83" spans="1:32" s="7" customFormat="1">
      <c r="A83" s="440" t="s">
        <v>388</v>
      </c>
      <c r="B83" s="442">
        <v>0.27</v>
      </c>
      <c r="C83" s="442">
        <v>0.53</v>
      </c>
      <c r="D83" s="442">
        <v>1.02</v>
      </c>
      <c r="E83" s="442">
        <v>1.68</v>
      </c>
      <c r="F83" s="442">
        <v>2.34</v>
      </c>
      <c r="G83" s="442">
        <v>2.4900000000000002</v>
      </c>
      <c r="H83" s="442">
        <v>2.2799999999999998</v>
      </c>
      <c r="I83" s="442">
        <v>1.92</v>
      </c>
      <c r="J83" s="442">
        <v>1.29</v>
      </c>
      <c r="K83" s="442">
        <v>0.69</v>
      </c>
      <c r="L83" s="442">
        <v>0.33</v>
      </c>
      <c r="M83" s="442">
        <v>0.2</v>
      </c>
      <c r="N83" s="442">
        <f t="shared" si="12"/>
        <v>0.88249999999999995</v>
      </c>
      <c r="O83" s="442">
        <f t="shared" si="13"/>
        <v>1.2533333333333332</v>
      </c>
      <c r="P83" s="442"/>
      <c r="Q83" s="506"/>
      <c r="R83" s="506"/>
      <c r="S83" s="506"/>
      <c r="T83" s="506"/>
      <c r="U83" s="506"/>
      <c r="V83" s="506"/>
      <c r="W83" s="506"/>
      <c r="X83" s="506"/>
      <c r="Y83" s="506"/>
      <c r="Z83" s="506"/>
      <c r="AA83" s="506"/>
      <c r="AB83" s="506"/>
      <c r="AC83" s="115"/>
      <c r="AD83" s="115"/>
      <c r="AE83" s="115"/>
      <c r="AF83" s="115"/>
    </row>
    <row r="84" spans="1:32" s="7" customFormat="1">
      <c r="A84" s="440" t="s">
        <v>745</v>
      </c>
      <c r="B84" s="442">
        <v>0.44</v>
      </c>
      <c r="C84" s="442">
        <v>0.88</v>
      </c>
      <c r="D84" s="442">
        <v>1.51</v>
      </c>
      <c r="E84" s="442">
        <v>2.2400000000000002</v>
      </c>
      <c r="F84" s="442">
        <v>2.88</v>
      </c>
      <c r="G84" s="442">
        <v>2.9</v>
      </c>
      <c r="H84" s="442">
        <v>2.68</v>
      </c>
      <c r="I84" s="442">
        <v>2.44</v>
      </c>
      <c r="J84" s="442">
        <v>1.87</v>
      </c>
      <c r="K84" s="442">
        <v>1.18</v>
      </c>
      <c r="L84" s="442">
        <v>0.56000000000000005</v>
      </c>
      <c r="M84" s="442">
        <v>0.37</v>
      </c>
      <c r="N84" s="442">
        <f t="shared" si="12"/>
        <v>1.2575000000000001</v>
      </c>
      <c r="O84" s="442">
        <f t="shared" si="13"/>
        <v>1.6624999999999999</v>
      </c>
      <c r="P84" s="442"/>
      <c r="Q84" s="506"/>
      <c r="R84" s="506"/>
      <c r="S84" s="506"/>
      <c r="T84" s="506"/>
      <c r="U84" s="506"/>
      <c r="V84" s="506"/>
      <c r="W84" s="506"/>
      <c r="X84" s="506"/>
      <c r="Y84" s="506"/>
      <c r="Z84" s="506"/>
      <c r="AA84" s="506"/>
      <c r="AB84" s="506"/>
      <c r="AC84" s="115"/>
      <c r="AD84" s="115"/>
      <c r="AE84" s="115"/>
      <c r="AF84" s="115"/>
    </row>
    <row r="85" spans="1:32" s="7" customFormat="1">
      <c r="A85" s="440" t="s">
        <v>361</v>
      </c>
      <c r="B85" s="442">
        <v>0.94</v>
      </c>
      <c r="C85" s="442">
        <v>1.53</v>
      </c>
      <c r="D85" s="442">
        <v>2.0499999999999998</v>
      </c>
      <c r="E85" s="442">
        <v>2.6</v>
      </c>
      <c r="F85" s="442">
        <v>3.02</v>
      </c>
      <c r="G85" s="442">
        <v>2.88</v>
      </c>
      <c r="H85" s="442">
        <v>2.74</v>
      </c>
      <c r="I85" s="442">
        <v>2.69</v>
      </c>
      <c r="J85" s="442">
        <v>2.35</v>
      </c>
      <c r="K85" s="442">
        <v>1.84</v>
      </c>
      <c r="L85" s="442">
        <v>1.19</v>
      </c>
      <c r="M85" s="442">
        <v>0.87</v>
      </c>
      <c r="N85" s="442">
        <f t="shared" si="12"/>
        <v>1.7549999999999997</v>
      </c>
      <c r="O85" s="442">
        <f t="shared" si="13"/>
        <v>2.0583333333333336</v>
      </c>
      <c r="P85" s="442"/>
      <c r="Q85" s="506"/>
      <c r="R85" s="506"/>
      <c r="S85" s="506"/>
      <c r="T85" s="506"/>
      <c r="U85" s="506"/>
      <c r="V85" s="506"/>
      <c r="W85" s="506"/>
      <c r="X85" s="506"/>
      <c r="Y85" s="506"/>
      <c r="Z85" s="506"/>
      <c r="AA85" s="506"/>
      <c r="AB85" s="506"/>
      <c r="AC85" s="115"/>
      <c r="AD85" s="115"/>
      <c r="AE85" s="115"/>
      <c r="AF85" s="115"/>
    </row>
    <row r="86" spans="1:32" s="7" customFormat="1">
      <c r="A86" s="440" t="s">
        <v>359</v>
      </c>
      <c r="B86" s="442">
        <v>1.22</v>
      </c>
      <c r="C86" s="442">
        <v>1.93</v>
      </c>
      <c r="D86" s="442">
        <v>2.37</v>
      </c>
      <c r="E86" s="442">
        <v>2.66</v>
      </c>
      <c r="F86" s="442">
        <v>2.86</v>
      </c>
      <c r="G86" s="442">
        <v>2.67</v>
      </c>
      <c r="H86" s="442">
        <v>2.59</v>
      </c>
      <c r="I86" s="442">
        <v>2.66</v>
      </c>
      <c r="J86" s="442">
        <v>2.56</v>
      </c>
      <c r="K86" s="442">
        <v>2.23</v>
      </c>
      <c r="L86" s="442">
        <v>1.55</v>
      </c>
      <c r="M86" s="442">
        <v>1.1499999999999999</v>
      </c>
      <c r="N86" s="442">
        <f t="shared" si="12"/>
        <v>1.9962500000000001</v>
      </c>
      <c r="O86" s="442">
        <f t="shared" si="13"/>
        <v>2.2041666666666662</v>
      </c>
      <c r="P86" s="442"/>
      <c r="Q86" s="506"/>
      <c r="R86" s="506"/>
      <c r="S86" s="506"/>
      <c r="T86" s="506"/>
      <c r="U86" s="506"/>
      <c r="V86" s="506"/>
      <c r="W86" s="506"/>
      <c r="X86" s="506"/>
      <c r="Y86" s="506"/>
      <c r="Z86" s="506"/>
      <c r="AA86" s="506"/>
      <c r="AB86" s="506"/>
      <c r="AC86" s="115"/>
      <c r="AD86" s="115"/>
      <c r="AE86" s="115"/>
      <c r="AF86" s="115"/>
    </row>
    <row r="87" spans="1:32" s="7" customFormat="1">
      <c r="A87" s="440" t="s">
        <v>746</v>
      </c>
      <c r="B87" s="442">
        <v>0.64</v>
      </c>
      <c r="C87" s="442">
        <v>1.31</v>
      </c>
      <c r="D87" s="442">
        <v>2.31</v>
      </c>
      <c r="E87" s="442">
        <v>3.58</v>
      </c>
      <c r="F87" s="442">
        <v>4.7699999999999996</v>
      </c>
      <c r="G87" s="442">
        <v>4.8600000000000003</v>
      </c>
      <c r="H87" s="442">
        <v>4.5199999999999996</v>
      </c>
      <c r="I87" s="442">
        <v>3.96</v>
      </c>
      <c r="J87" s="442">
        <v>2.81</v>
      </c>
      <c r="K87" s="442">
        <v>1.64</v>
      </c>
      <c r="L87" s="442">
        <v>0.84</v>
      </c>
      <c r="M87" s="442">
        <v>0.5</v>
      </c>
      <c r="N87" s="442">
        <f t="shared" si="12"/>
        <v>1.94875</v>
      </c>
      <c r="O87" s="442">
        <f t="shared" si="13"/>
        <v>2.645</v>
      </c>
      <c r="P87" s="442"/>
      <c r="Q87" s="506"/>
      <c r="R87" s="506"/>
      <c r="S87" s="506"/>
      <c r="T87" s="506"/>
      <c r="U87" s="506"/>
      <c r="V87" s="506"/>
      <c r="W87" s="506"/>
      <c r="X87" s="506"/>
      <c r="Y87" s="506"/>
      <c r="Z87" s="506"/>
      <c r="AA87" s="506"/>
      <c r="AB87" s="506"/>
      <c r="AC87" s="115"/>
      <c r="AD87" s="115"/>
      <c r="AE87" s="115"/>
      <c r="AF87" s="115"/>
    </row>
    <row r="88" spans="1:32" s="7" customFormat="1">
      <c r="A88" s="440"/>
      <c r="B88" s="440"/>
      <c r="C88" s="440"/>
      <c r="D88" s="440"/>
      <c r="E88" s="440"/>
      <c r="F88" s="440"/>
      <c r="G88" s="440"/>
      <c r="H88" s="440"/>
      <c r="I88" s="440"/>
      <c r="J88" s="440"/>
      <c r="K88" s="440"/>
      <c r="L88" s="440"/>
      <c r="M88" s="440"/>
      <c r="N88" s="440"/>
      <c r="O88" s="440"/>
      <c r="P88" s="440"/>
      <c r="Q88" s="506"/>
      <c r="R88" s="506"/>
      <c r="S88" s="506"/>
      <c r="T88" s="506"/>
      <c r="U88" s="506"/>
      <c r="V88" s="506"/>
      <c r="W88" s="506"/>
      <c r="X88" s="506"/>
      <c r="Y88" s="506"/>
      <c r="Z88" s="506"/>
      <c r="AA88" s="506"/>
      <c r="AB88" s="506"/>
      <c r="AC88" s="115"/>
      <c r="AD88" s="115"/>
      <c r="AE88" s="115"/>
      <c r="AF88" s="115"/>
    </row>
    <row r="89" spans="1:32" s="7" customFormat="1">
      <c r="A89" s="440" t="s">
        <v>772</v>
      </c>
      <c r="B89" s="440"/>
      <c r="C89" s="440"/>
      <c r="D89" s="440"/>
      <c r="E89" s="440">
        <v>243</v>
      </c>
      <c r="F89" s="440"/>
      <c r="G89" s="440"/>
      <c r="H89" s="440"/>
      <c r="I89" s="440"/>
      <c r="J89" s="440"/>
      <c r="K89" s="440"/>
      <c r="L89" s="440"/>
      <c r="M89" s="440"/>
      <c r="N89" s="440"/>
      <c r="O89" s="440"/>
      <c r="P89" s="440"/>
      <c r="Q89" s="506"/>
      <c r="R89" s="506"/>
      <c r="S89" s="506"/>
      <c r="T89" s="506"/>
      <c r="U89" s="506"/>
      <c r="V89" s="506"/>
      <c r="W89" s="506"/>
      <c r="X89" s="506"/>
      <c r="Y89" s="506"/>
      <c r="Z89" s="506"/>
      <c r="AA89" s="506"/>
      <c r="AB89" s="506"/>
      <c r="AC89" s="115"/>
      <c r="AD89" s="115"/>
      <c r="AE89" s="115"/>
      <c r="AF89" s="115"/>
    </row>
    <row r="90" spans="1:32" s="7" customFormat="1">
      <c r="A90" s="115"/>
      <c r="B90" s="115"/>
      <c r="C90" s="115"/>
      <c r="D90" s="115"/>
      <c r="E90" s="115"/>
      <c r="F90" s="115"/>
      <c r="G90" s="115"/>
      <c r="H90" s="115"/>
      <c r="I90" s="115"/>
      <c r="J90" s="115"/>
      <c r="K90" s="115"/>
      <c r="L90" s="115"/>
      <c r="M90" s="115"/>
      <c r="N90" s="115"/>
      <c r="O90" s="115"/>
      <c r="P90" s="115"/>
      <c r="Q90" s="506"/>
      <c r="R90" s="506"/>
      <c r="S90" s="506"/>
      <c r="T90" s="506"/>
      <c r="U90" s="506"/>
      <c r="V90" s="506"/>
      <c r="W90" s="506"/>
      <c r="X90" s="506"/>
      <c r="Y90" s="506"/>
      <c r="Z90" s="506"/>
      <c r="AA90" s="506"/>
      <c r="AB90" s="506"/>
      <c r="AC90" s="115"/>
      <c r="AD90" s="115"/>
      <c r="AE90" s="115"/>
      <c r="AF90" s="115"/>
    </row>
    <row r="91" spans="1:32" s="7" customFormat="1" ht="13">
      <c r="A91" s="28" t="s">
        <v>773</v>
      </c>
      <c r="B91" s="115"/>
      <c r="C91" s="115"/>
      <c r="D91" s="115"/>
      <c r="E91" s="115"/>
      <c r="F91" s="115"/>
      <c r="G91" s="115"/>
      <c r="H91" s="115"/>
      <c r="I91" s="115"/>
      <c r="J91" s="115"/>
      <c r="K91" s="115"/>
      <c r="L91" s="115"/>
      <c r="M91" s="115"/>
      <c r="N91" s="115"/>
      <c r="O91" s="115"/>
      <c r="P91" s="115"/>
      <c r="Q91" s="506"/>
      <c r="R91" s="506"/>
      <c r="S91" s="506"/>
      <c r="T91" s="506"/>
      <c r="U91" s="506"/>
      <c r="V91" s="506"/>
      <c r="W91" s="506"/>
      <c r="X91" s="506"/>
      <c r="Y91" s="506"/>
      <c r="Z91" s="506"/>
      <c r="AA91" s="506"/>
      <c r="AB91" s="506"/>
      <c r="AC91" s="115"/>
      <c r="AD91" s="115"/>
      <c r="AE91" s="115"/>
      <c r="AF91" s="115"/>
    </row>
    <row r="92" spans="1:32" s="7" customFormat="1">
      <c r="A92" s="440" t="s">
        <v>486</v>
      </c>
      <c r="B92" s="115"/>
      <c r="C92" s="115" t="s">
        <v>774</v>
      </c>
      <c r="D92" s="115" t="s">
        <v>775</v>
      </c>
      <c r="E92" s="115"/>
      <c r="F92" s="115"/>
      <c r="G92" s="115"/>
      <c r="H92" s="115"/>
      <c r="I92" s="115"/>
      <c r="J92" s="115"/>
      <c r="K92" s="115"/>
      <c r="L92" s="115"/>
      <c r="M92" s="115"/>
      <c r="N92" s="115"/>
      <c r="O92" s="115"/>
      <c r="P92" s="115"/>
      <c r="Q92" s="506"/>
      <c r="R92" s="506"/>
      <c r="S92" s="506"/>
      <c r="T92" s="506"/>
      <c r="U92" s="506"/>
      <c r="V92" s="506"/>
      <c r="W92" s="506"/>
      <c r="X92" s="506"/>
      <c r="Y92" s="506"/>
      <c r="Z92" s="506"/>
      <c r="AA92" s="506"/>
      <c r="AB92" s="506"/>
      <c r="AC92" s="115"/>
      <c r="AD92" s="115"/>
      <c r="AE92" s="115"/>
      <c r="AF92" s="363" t="s">
        <v>206</v>
      </c>
    </row>
    <row r="93" spans="1:32" s="7" customFormat="1">
      <c r="A93" s="440"/>
      <c r="B93" s="115"/>
      <c r="C93" s="115" t="s">
        <v>776</v>
      </c>
      <c r="D93" s="154" t="s">
        <v>721</v>
      </c>
      <c r="E93" s="115" t="s">
        <v>722</v>
      </c>
      <c r="F93" s="115"/>
      <c r="G93" s="115"/>
      <c r="H93" s="115"/>
      <c r="I93" s="115"/>
      <c r="J93" s="115"/>
      <c r="K93" s="115"/>
      <c r="L93" s="115"/>
      <c r="M93" s="115"/>
      <c r="N93" s="115"/>
      <c r="O93" s="115"/>
      <c r="P93" s="115"/>
      <c r="Q93" s="506"/>
      <c r="R93" s="506"/>
      <c r="S93" s="506"/>
      <c r="T93" s="506"/>
      <c r="U93" s="506"/>
      <c r="V93" s="506"/>
      <c r="W93" s="506"/>
      <c r="X93" s="506"/>
      <c r="Y93" s="506"/>
      <c r="Z93" s="506"/>
      <c r="AA93" s="506"/>
      <c r="AB93" s="506"/>
      <c r="AC93" s="115"/>
      <c r="AD93" s="115"/>
      <c r="AE93" s="115"/>
      <c r="AF93" s="115"/>
    </row>
    <row r="94" spans="1:32" s="7" customFormat="1">
      <c r="A94" s="115" t="s">
        <v>777</v>
      </c>
      <c r="B94" s="115"/>
      <c r="C94" s="115">
        <v>0</v>
      </c>
      <c r="D94" s="349">
        <v>7.0000000000000007E-2</v>
      </c>
      <c r="E94" s="349">
        <v>7.0000000000000007E-2</v>
      </c>
      <c r="F94" s="115"/>
      <c r="G94" s="115"/>
      <c r="H94" s="115"/>
      <c r="I94" s="115"/>
      <c r="J94" s="115"/>
      <c r="K94" s="115"/>
      <c r="L94" s="115"/>
      <c r="M94" s="115"/>
      <c r="N94" s="115"/>
      <c r="O94" s="115"/>
      <c r="P94" s="115"/>
      <c r="Q94" s="506"/>
      <c r="R94" s="506"/>
      <c r="S94" s="506"/>
      <c r="T94" s="506"/>
      <c r="U94" s="506"/>
      <c r="V94" s="506"/>
      <c r="W94" s="506"/>
      <c r="X94" s="506"/>
      <c r="Y94" s="506"/>
      <c r="Z94" s="506"/>
      <c r="AA94" s="506"/>
      <c r="AB94" s="506"/>
      <c r="AC94" s="115"/>
      <c r="AD94" s="115"/>
      <c r="AE94" s="115"/>
      <c r="AF94" s="115"/>
    </row>
    <row r="95" spans="1:32" s="7" customFormat="1">
      <c r="A95" s="115" t="s">
        <v>778</v>
      </c>
      <c r="B95" s="115"/>
      <c r="C95" s="115">
        <v>0.5</v>
      </c>
      <c r="D95" s="349">
        <v>0.14000000000000001</v>
      </c>
      <c r="E95" s="349">
        <v>0.09</v>
      </c>
      <c r="F95" s="115"/>
      <c r="G95" s="115"/>
      <c r="H95" s="115"/>
      <c r="I95" s="115"/>
      <c r="J95" s="115"/>
      <c r="K95" s="115"/>
      <c r="L95" s="115"/>
      <c r="M95" s="115"/>
      <c r="N95" s="115"/>
      <c r="O95" s="115"/>
      <c r="P95" s="115"/>
      <c r="Q95" s="506"/>
      <c r="R95" s="506"/>
      <c r="S95" s="506"/>
      <c r="T95" s="506"/>
      <c r="U95" s="506"/>
      <c r="V95" s="506"/>
      <c r="W95" s="506"/>
      <c r="X95" s="506"/>
      <c r="Y95" s="506"/>
      <c r="Z95" s="506"/>
      <c r="AA95" s="506"/>
      <c r="AB95" s="506"/>
      <c r="AC95" s="115"/>
      <c r="AD95" s="115"/>
      <c r="AE95" s="115"/>
      <c r="AF95" s="115"/>
    </row>
    <row r="96" spans="1:32" s="7" customFormat="1">
      <c r="A96" s="115" t="s">
        <v>720</v>
      </c>
      <c r="B96" s="115"/>
      <c r="C96" s="115">
        <v>1</v>
      </c>
      <c r="D96" s="349">
        <v>0.2</v>
      </c>
      <c r="E96" s="349">
        <v>0.11</v>
      </c>
      <c r="F96" s="115"/>
      <c r="G96" s="115"/>
      <c r="H96" s="115"/>
      <c r="I96" s="115"/>
      <c r="J96" s="115"/>
      <c r="K96" s="115"/>
      <c r="L96" s="115"/>
      <c r="M96" s="115"/>
      <c r="N96" s="115"/>
      <c r="O96" s="115"/>
      <c r="P96" s="115"/>
      <c r="Q96" s="506"/>
      <c r="R96" s="506"/>
      <c r="S96" s="506"/>
      <c r="T96" s="506"/>
      <c r="U96" s="506"/>
      <c r="V96" s="506"/>
      <c r="W96" s="506"/>
      <c r="X96" s="506"/>
      <c r="Y96" s="506"/>
      <c r="Z96" s="506"/>
      <c r="AA96" s="506"/>
      <c r="AB96" s="506"/>
      <c r="AC96" s="115"/>
      <c r="AD96" s="115"/>
      <c r="AE96" s="115"/>
      <c r="AF96" s="115"/>
    </row>
    <row r="97" spans="1:28" s="7" customFormat="1">
      <c r="A97" s="115" t="s">
        <v>779</v>
      </c>
      <c r="B97" s="115"/>
      <c r="C97" s="115">
        <v>2</v>
      </c>
      <c r="D97" s="349">
        <v>0.32</v>
      </c>
      <c r="E97" s="349">
        <v>0.15</v>
      </c>
      <c r="F97" s="115"/>
      <c r="G97" s="115"/>
      <c r="H97" s="115"/>
      <c r="I97" s="115"/>
      <c r="J97" s="115"/>
      <c r="K97" s="115"/>
      <c r="L97" s="115"/>
      <c r="M97" s="115"/>
      <c r="N97" s="115"/>
      <c r="O97" s="115"/>
      <c r="P97" s="115"/>
      <c r="Q97" s="506"/>
      <c r="R97" s="506"/>
      <c r="S97" s="506"/>
      <c r="T97" s="506"/>
      <c r="U97" s="506"/>
      <c r="V97" s="506"/>
      <c r="W97" s="506"/>
      <c r="X97" s="506"/>
      <c r="Y97" s="506"/>
      <c r="Z97" s="506"/>
      <c r="AA97" s="506"/>
      <c r="AB97" s="506"/>
    </row>
    <row r="98" spans="1:28" s="7" customFormat="1">
      <c r="A98" s="115" t="s">
        <v>780</v>
      </c>
      <c r="B98" s="115"/>
      <c r="C98" s="115">
        <v>3.5</v>
      </c>
      <c r="D98" s="349">
        <v>0.5</v>
      </c>
      <c r="E98" s="349">
        <v>0.2</v>
      </c>
      <c r="F98" s="115"/>
      <c r="G98" s="115"/>
      <c r="H98" s="115"/>
      <c r="I98" s="115"/>
      <c r="J98" s="115"/>
      <c r="K98" s="115"/>
      <c r="L98" s="115"/>
      <c r="M98" s="115"/>
      <c r="N98" s="115"/>
      <c r="O98" s="115"/>
      <c r="P98" s="115"/>
      <c r="Q98" s="506"/>
      <c r="R98" s="506"/>
      <c r="S98" s="506"/>
      <c r="T98" s="506"/>
      <c r="U98" s="506"/>
      <c r="V98" s="506"/>
      <c r="W98" s="506"/>
      <c r="X98" s="506"/>
      <c r="Y98" s="506"/>
      <c r="Z98" s="506"/>
      <c r="AA98" s="506"/>
      <c r="AB98" s="506"/>
    </row>
    <row r="99" spans="1:28">
      <c r="A99" s="115" t="s">
        <v>250</v>
      </c>
      <c r="C99">
        <f>C96</f>
        <v>1</v>
      </c>
      <c r="D99" s="5">
        <f>D96</f>
        <v>0.2</v>
      </c>
      <c r="E99" s="5">
        <f>E96</f>
        <v>0.11</v>
      </c>
    </row>
    <row r="101" spans="1:28" ht="13">
      <c r="A101" s="1"/>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Normal="100" workbookViewId="0">
      <selection activeCell="H24" sqref="H24"/>
    </sheetView>
  </sheetViews>
  <sheetFormatPr defaultRowHeight="12.5"/>
  <cols>
    <col min="1" max="6" width="9.1796875" style="7"/>
    <col min="7" max="7" width="9.54296875" style="7" customWidth="1"/>
    <col min="8" max="10" width="9.1796875" style="7"/>
    <col min="11" max="11" width="16" style="7" customWidth="1"/>
    <col min="12" max="13" width="9.1796875" style="7"/>
    <col min="14" max="14" width="13" style="7" customWidth="1"/>
    <col min="15" max="15" width="9.54296875" style="7" customWidth="1"/>
    <col min="16" max="17" width="9.1796875" style="515" customWidth="1"/>
    <col min="18" max="19" width="9.1796875" customWidth="1"/>
  </cols>
  <sheetData>
    <row r="1" spans="1:17" s="1" customFormat="1" ht="18" customHeight="1">
      <c r="A1" s="12" t="s">
        <v>781</v>
      </c>
      <c r="B1" s="14"/>
      <c r="C1" s="381"/>
      <c r="D1" s="381"/>
      <c r="E1" s="381"/>
      <c r="F1" s="15"/>
      <c r="G1" s="15"/>
      <c r="H1" s="381"/>
      <c r="I1" s="381"/>
      <c r="J1" s="381"/>
      <c r="K1" s="381"/>
      <c r="L1" s="381"/>
      <c r="M1" s="381"/>
      <c r="N1" s="381"/>
      <c r="P1" s="503" t="s">
        <v>270</v>
      </c>
      <c r="Q1" s="516"/>
    </row>
    <row r="2" spans="1:17">
      <c r="A2" s="115"/>
      <c r="B2" s="115"/>
      <c r="C2" s="115"/>
      <c r="D2" s="115"/>
      <c r="E2" s="115"/>
      <c r="F2" s="115"/>
      <c r="G2" s="115"/>
      <c r="H2" s="115"/>
      <c r="I2" s="115"/>
      <c r="J2" s="115"/>
      <c r="K2" s="115"/>
      <c r="L2" s="115"/>
      <c r="M2" s="115"/>
      <c r="N2" s="115"/>
      <c r="O2" s="115"/>
      <c r="P2" s="506"/>
      <c r="Q2" s="506"/>
    </row>
    <row r="3" spans="1:17" ht="13">
      <c r="A3" s="3" t="s">
        <v>782</v>
      </c>
      <c r="B3" s="115"/>
      <c r="C3" s="115"/>
      <c r="D3" s="115"/>
      <c r="E3" s="115"/>
      <c r="F3" s="115"/>
      <c r="G3" s="115"/>
      <c r="H3" s="392"/>
      <c r="I3" s="115"/>
      <c r="J3" s="115"/>
      <c r="K3" s="115"/>
      <c r="L3" s="115"/>
      <c r="M3" s="115"/>
      <c r="N3" s="115"/>
      <c r="O3" s="115"/>
      <c r="P3" s="506"/>
      <c r="Q3" s="506"/>
    </row>
    <row r="4" spans="1:17">
      <c r="A4" s="154" t="s">
        <v>783</v>
      </c>
      <c r="B4" s="115"/>
      <c r="C4" s="115"/>
      <c r="D4" s="115"/>
      <c r="E4" s="115"/>
      <c r="F4" s="115"/>
      <c r="G4" s="115"/>
      <c r="H4" s="443">
        <v>0</v>
      </c>
      <c r="I4" s="392"/>
      <c r="J4" s="115"/>
      <c r="K4" s="115"/>
      <c r="L4" s="115"/>
      <c r="M4" s="115"/>
      <c r="N4" s="115"/>
      <c r="O4" s="115"/>
      <c r="P4" s="503"/>
      <c r="Q4" s="506"/>
    </row>
    <row r="5" spans="1:17">
      <c r="A5" s="115" t="s">
        <v>784</v>
      </c>
      <c r="B5" s="115"/>
      <c r="C5" s="115"/>
      <c r="D5" s="115"/>
      <c r="E5" s="115"/>
      <c r="F5" s="115"/>
      <c r="G5" s="115"/>
      <c r="H5" s="389">
        <f>HtUse!$G$3+H4</f>
        <v>21</v>
      </c>
      <c r="I5" s="392"/>
      <c r="J5" s="115"/>
      <c r="K5" s="115"/>
      <c r="L5" s="115"/>
      <c r="M5" s="115"/>
      <c r="N5" s="115"/>
      <c r="O5" s="115"/>
      <c r="P5" s="511">
        <f>HtUse!$G$3</f>
        <v>21</v>
      </c>
      <c r="Q5" s="506"/>
    </row>
    <row r="6" spans="1:17">
      <c r="A6" s="154" t="s">
        <v>785</v>
      </c>
      <c r="B6" s="154"/>
      <c r="C6" s="154"/>
      <c r="D6" s="154"/>
      <c r="E6" s="154"/>
      <c r="F6" s="115"/>
      <c r="G6" s="115"/>
      <c r="H6" s="382">
        <v>3</v>
      </c>
      <c r="I6" s="154" t="s">
        <v>786</v>
      </c>
      <c r="J6" s="115"/>
      <c r="K6" s="115"/>
      <c r="L6" s="115"/>
      <c r="M6" s="115"/>
      <c r="N6" s="115"/>
      <c r="O6" s="115"/>
      <c r="P6" s="503">
        <v>2</v>
      </c>
      <c r="Q6" s="506"/>
    </row>
    <row r="7" spans="1:17">
      <c r="A7" s="154" t="s">
        <v>787</v>
      </c>
      <c r="B7" s="115"/>
      <c r="C7" s="115"/>
      <c r="D7" s="115"/>
      <c r="E7" s="115"/>
      <c r="F7" s="115"/>
      <c r="G7" s="115"/>
      <c r="H7" s="435">
        <f>HtUse!$G$4+VLOOKUP(ctrlCat,$A$45:$B$48,2,FALSE)+H4</f>
        <v>18</v>
      </c>
      <c r="I7" s="392"/>
      <c r="J7" s="115"/>
      <c r="K7" s="115"/>
      <c r="L7" s="115"/>
      <c r="M7" s="115"/>
      <c r="N7" s="115"/>
      <c r="O7" s="115"/>
      <c r="P7" s="530">
        <f>HtUse!$G$4+VLOOKUP(P6,$A$45:$B$47,2,FALSE)+P4</f>
        <v>18.5</v>
      </c>
      <c r="Q7" s="506"/>
    </row>
    <row r="8" spans="1:17">
      <c r="A8" s="154" t="s">
        <v>788</v>
      </c>
      <c r="B8" s="154"/>
      <c r="C8" s="154"/>
      <c r="D8" s="154"/>
      <c r="E8" s="154"/>
      <c r="F8" s="115"/>
      <c r="G8" s="115"/>
      <c r="H8" s="387">
        <f>HtUse!G5*H5+(1-HtUse!G5)*H7</f>
        <v>18.75</v>
      </c>
      <c r="I8" s="154"/>
      <c r="J8" s="115"/>
      <c r="K8" s="115"/>
      <c r="L8" s="115"/>
      <c r="M8" s="115"/>
      <c r="N8" s="115"/>
      <c r="O8" s="115"/>
      <c r="P8" s="504">
        <f>HtUse!G5*P5+(1-HtUse!G5)*P7</f>
        <v>19.125</v>
      </c>
      <c r="Q8" s="506"/>
    </row>
    <row r="9" spans="1:17">
      <c r="A9" s="115" t="s">
        <v>789</v>
      </c>
      <c r="B9" s="115"/>
      <c r="C9" s="115"/>
      <c r="D9" s="115"/>
      <c r="E9" s="115"/>
      <c r="F9" s="115"/>
      <c r="G9" s="115"/>
      <c r="H9" s="443">
        <v>1</v>
      </c>
      <c r="I9" s="392" t="s">
        <v>790</v>
      </c>
      <c r="J9" s="115"/>
      <c r="K9" s="115"/>
      <c r="L9" s="115"/>
      <c r="M9" s="115"/>
      <c r="N9" s="115"/>
      <c r="O9" s="115"/>
      <c r="P9" s="503">
        <v>1</v>
      </c>
      <c r="Q9" s="506"/>
    </row>
    <row r="10" spans="1:17">
      <c r="A10" s="115"/>
      <c r="B10" s="115" t="s">
        <v>791</v>
      </c>
      <c r="C10" s="115"/>
      <c r="D10" s="115"/>
      <c r="E10" s="115"/>
      <c r="F10" s="115"/>
      <c r="G10" s="115"/>
      <c r="H10" s="386">
        <f>(respons-1)*0.2</f>
        <v>0</v>
      </c>
      <c r="I10" s="392"/>
      <c r="J10" s="115"/>
      <c r="K10" s="115"/>
      <c r="L10" s="115"/>
      <c r="M10" s="115"/>
      <c r="N10" s="115"/>
      <c r="O10" s="115"/>
      <c r="P10" s="503">
        <f>(P9-1)*0.2</f>
        <v>0</v>
      </c>
      <c r="Q10" s="506"/>
    </row>
    <row r="11" spans="1:17">
      <c r="A11" s="154" t="s">
        <v>792</v>
      </c>
      <c r="B11" s="115"/>
      <c r="C11" s="115"/>
      <c r="D11" s="115"/>
      <c r="E11" s="115"/>
      <c r="F11" s="115"/>
      <c r="G11" s="115"/>
      <c r="H11" s="389">
        <f>Tem+(H8-Tem)*H10</f>
        <v>7.625</v>
      </c>
      <c r="I11" s="392"/>
      <c r="J11" s="115"/>
      <c r="K11" s="115"/>
      <c r="L11" s="115"/>
      <c r="M11" s="115"/>
      <c r="N11" s="115"/>
      <c r="O11" s="115"/>
      <c r="P11" s="511">
        <f>Tem+(P8-Tem)*P10</f>
        <v>7.625</v>
      </c>
      <c r="Q11" s="506"/>
    </row>
    <row r="12" spans="1:17">
      <c r="A12" s="154" t="s">
        <v>793</v>
      </c>
      <c r="B12" s="115"/>
      <c r="C12" s="115"/>
      <c r="D12" s="115"/>
      <c r="E12" s="115"/>
      <c r="F12" s="115"/>
      <c r="G12" s="115"/>
      <c r="H12" s="444">
        <f>H11+HtUse!H29*(H8-H11)</f>
        <v>17.855449982073754</v>
      </c>
      <c r="I12" s="154"/>
      <c r="J12" s="115"/>
      <c r="K12" s="115"/>
      <c r="L12" s="115"/>
      <c r="M12" s="115"/>
      <c r="N12" s="115"/>
      <c r="O12" s="115"/>
      <c r="P12" s="511">
        <f>P11+HtUse!Q29*(P8-P11)</f>
        <v>17.630639272203634</v>
      </c>
      <c r="Q12" s="506"/>
    </row>
    <row r="13" spans="1:17">
      <c r="A13" s="115" t="s">
        <v>794</v>
      </c>
      <c r="B13" s="115"/>
      <c r="C13" s="115"/>
      <c r="D13" s="115"/>
      <c r="E13" s="115"/>
      <c r="F13" s="115"/>
      <c r="G13" s="115"/>
      <c r="H13" s="433">
        <f>(H12-HtUse!H28)*hlc*(24*HsLength/1000)</f>
        <v>0</v>
      </c>
      <c r="I13" s="154"/>
      <c r="J13" s="115"/>
      <c r="K13" s="115"/>
      <c r="L13" s="115"/>
      <c r="M13" s="115"/>
      <c r="N13" s="115"/>
      <c r="O13" s="115"/>
      <c r="P13" s="505">
        <f>(P12-HtUse!Q28)*hlcRef*(24*HsLength/1000)</f>
        <v>412.538325701075</v>
      </c>
      <c r="Q13" s="506"/>
    </row>
    <row r="14" spans="1:17">
      <c r="A14" s="115" t="s">
        <v>795</v>
      </c>
      <c r="B14" s="115"/>
      <c r="C14" s="115"/>
      <c r="D14" s="115"/>
      <c r="E14" s="115"/>
      <c r="F14" s="115"/>
      <c r="G14" s="115"/>
      <c r="H14" s="432">
        <f>HeatUse+H13</f>
        <v>2872.5876658783163</v>
      </c>
      <c r="I14" s="392"/>
      <c r="J14" s="115"/>
      <c r="K14" s="115"/>
      <c r="L14" s="115"/>
      <c r="M14" s="115"/>
      <c r="N14" s="115"/>
      <c r="O14" s="115"/>
      <c r="P14" s="519">
        <f>HtUse!$Q$57+P13</f>
        <v>6583.1613340425256</v>
      </c>
      <c r="Q14" s="506"/>
    </row>
    <row r="15" spans="1:17">
      <c r="A15" s="115"/>
      <c r="B15" s="115"/>
      <c r="C15" s="115"/>
      <c r="D15" s="115"/>
      <c r="E15" s="115"/>
      <c r="F15" s="115"/>
      <c r="G15" s="115"/>
      <c r="H15" s="392"/>
      <c r="I15" s="115"/>
      <c r="J15" s="115"/>
      <c r="K15" s="115"/>
      <c r="L15" s="115"/>
      <c r="M15" s="115"/>
      <c r="N15" s="115"/>
      <c r="O15" s="115"/>
      <c r="P15" s="506"/>
      <c r="Q15" s="506"/>
    </row>
    <row r="16" spans="1:17" ht="13">
      <c r="A16" s="3" t="s">
        <v>796</v>
      </c>
      <c r="B16" s="115"/>
      <c r="C16" s="392"/>
      <c r="D16" s="392"/>
      <c r="E16" s="392"/>
      <c r="F16" s="392"/>
      <c r="G16" s="392"/>
      <c r="H16" s="392"/>
      <c r="I16" s="115"/>
      <c r="J16" s="115"/>
      <c r="K16" s="392"/>
      <c r="L16" s="115"/>
      <c r="M16" s="392"/>
      <c r="N16" s="392"/>
      <c r="O16" s="115"/>
      <c r="P16" s="506"/>
      <c r="Q16" s="506"/>
    </row>
    <row r="17" spans="1:17">
      <c r="A17" s="115" t="s">
        <v>797</v>
      </c>
      <c r="B17" s="115"/>
      <c r="C17" s="392"/>
      <c r="D17" s="392"/>
      <c r="E17" s="392"/>
      <c r="F17" s="392"/>
      <c r="G17" s="392"/>
      <c r="H17" s="392"/>
      <c r="I17" s="115"/>
      <c r="J17" s="115"/>
      <c r="K17" s="392"/>
      <c r="L17" s="115"/>
      <c r="M17" s="392"/>
      <c r="N17" s="392"/>
      <c r="O17" s="115"/>
      <c r="P17" s="506"/>
      <c r="Q17" s="506"/>
    </row>
    <row r="18" spans="1:17">
      <c r="A18" s="115"/>
      <c r="B18" s="115"/>
      <c r="C18" s="392"/>
      <c r="D18" s="392"/>
      <c r="E18" s="392"/>
      <c r="F18" s="392"/>
      <c r="G18" s="392"/>
      <c r="H18" s="392" t="s">
        <v>798</v>
      </c>
      <c r="I18" s="392" t="s">
        <v>799</v>
      </c>
      <c r="J18" s="392"/>
      <c r="K18" s="392" t="s">
        <v>800</v>
      </c>
      <c r="L18" s="392" t="s">
        <v>801</v>
      </c>
      <c r="M18" s="392" t="s">
        <v>802</v>
      </c>
      <c r="N18" s="106" t="s">
        <v>321</v>
      </c>
      <c r="O18" s="115"/>
      <c r="P18" s="519"/>
      <c r="Q18" s="519"/>
    </row>
    <row r="19" spans="1:17">
      <c r="A19" s="115" t="s">
        <v>803</v>
      </c>
      <c r="B19" s="115"/>
      <c r="C19" s="392"/>
      <c r="D19" s="392"/>
      <c r="E19" s="392"/>
      <c r="F19" s="115"/>
      <c r="G19" s="392"/>
      <c r="H19" s="392" t="s">
        <v>804</v>
      </c>
      <c r="I19" s="392" t="s">
        <v>805</v>
      </c>
      <c r="J19" s="115"/>
      <c r="K19" s="392" t="s">
        <v>806</v>
      </c>
      <c r="L19" s="392" t="s">
        <v>807</v>
      </c>
      <c r="M19" s="433" t="s">
        <v>622</v>
      </c>
      <c r="N19" s="106" t="s">
        <v>808</v>
      </c>
      <c r="O19" s="115"/>
      <c r="P19" s="519"/>
      <c r="Q19" s="519"/>
    </row>
    <row r="20" spans="1:17">
      <c r="A20" s="115"/>
      <c r="B20" s="115"/>
      <c r="C20" s="392"/>
      <c r="D20" s="392"/>
      <c r="E20" s="392"/>
      <c r="F20" s="115"/>
      <c r="G20" s="392"/>
      <c r="H20" s="392" t="s">
        <v>809</v>
      </c>
      <c r="I20" s="115" t="s">
        <v>810</v>
      </c>
      <c r="J20" s="115"/>
      <c r="K20" s="433" t="s">
        <v>811</v>
      </c>
      <c r="L20" s="115" t="s">
        <v>812</v>
      </c>
      <c r="M20" s="115"/>
      <c r="N20" s="106" t="s">
        <v>806</v>
      </c>
      <c r="O20" s="115"/>
      <c r="P20" s="519"/>
      <c r="Q20" s="506"/>
    </row>
    <row r="21" spans="1:17">
      <c r="A21" s="115" t="s">
        <v>813</v>
      </c>
      <c r="B21" s="115"/>
      <c r="C21" s="392"/>
      <c r="D21" s="392"/>
      <c r="E21" s="392"/>
      <c r="F21" s="392"/>
      <c r="G21" s="392"/>
      <c r="H21" s="445">
        <v>1</v>
      </c>
      <c r="I21" s="445" t="s">
        <v>245</v>
      </c>
      <c r="J21" s="115"/>
      <c r="K21" s="446">
        <v>52</v>
      </c>
      <c r="L21" s="445" t="s">
        <v>245</v>
      </c>
      <c r="M21" s="433">
        <f>IF(L21=A51,H21*10,0)</f>
        <v>10</v>
      </c>
      <c r="N21" s="107">
        <f>H21*IF(I21=A51,130,130*1.3)</f>
        <v>130</v>
      </c>
      <c r="O21" s="115"/>
      <c r="P21" s="506"/>
      <c r="Q21" s="506"/>
    </row>
    <row r="22" spans="1:17">
      <c r="A22" s="115" t="s">
        <v>814</v>
      </c>
      <c r="B22" s="115"/>
      <c r="C22" s="392"/>
      <c r="D22" s="392"/>
      <c r="E22" s="392"/>
      <c r="F22" s="392"/>
      <c r="G22" s="392"/>
      <c r="H22" s="445"/>
      <c r="I22" s="445" t="s">
        <v>250</v>
      </c>
      <c r="J22" s="115"/>
      <c r="K22" s="433">
        <f>H22*IF(I22=A51,100,100*1.3)</f>
        <v>0</v>
      </c>
      <c r="L22" s="445" t="s">
        <v>250</v>
      </c>
      <c r="M22" s="433">
        <f>IF(L22=A51,H22*10,0)</f>
        <v>0</v>
      </c>
      <c r="N22" s="115"/>
      <c r="O22" s="115"/>
      <c r="P22" s="506"/>
      <c r="Q22" s="506"/>
    </row>
    <row r="23" spans="1:17">
      <c r="A23" s="115" t="s">
        <v>815</v>
      </c>
      <c r="B23" s="115"/>
      <c r="C23" s="392"/>
      <c r="D23" s="392"/>
      <c r="E23" s="392"/>
      <c r="F23" s="392"/>
      <c r="G23" s="392"/>
      <c r="H23" s="445">
        <v>1</v>
      </c>
      <c r="I23" s="392"/>
      <c r="J23" s="386"/>
      <c r="K23" s="433">
        <f>H23*45</f>
        <v>45</v>
      </c>
      <c r="L23" s="386"/>
      <c r="M23" s="433" t="s">
        <v>250</v>
      </c>
      <c r="N23" s="115"/>
      <c r="O23" s="115"/>
      <c r="P23" s="506"/>
      <c r="Q23" s="506"/>
    </row>
    <row r="24" spans="1:17">
      <c r="A24" s="115" t="s">
        <v>816</v>
      </c>
      <c r="B24" s="115"/>
      <c r="C24" s="392"/>
      <c r="D24" s="392"/>
      <c r="E24" s="392"/>
      <c r="F24" s="392"/>
      <c r="G24" s="447" t="s">
        <v>246</v>
      </c>
      <c r="H24" s="433">
        <f>VLOOKUP(G24,$A$51:$B$53,2,FALSE)</f>
        <v>0</v>
      </c>
      <c r="I24" s="392"/>
      <c r="J24" s="386"/>
      <c r="K24" s="433">
        <f>IF($H$24,0.6*volume,0)</f>
        <v>0</v>
      </c>
      <c r="L24" s="386"/>
      <c r="M24" s="433">
        <f>IF($H$24,0.06*volume,0)</f>
        <v>0</v>
      </c>
      <c r="N24" s="115"/>
      <c r="O24" s="115"/>
      <c r="P24" s="506"/>
      <c r="Q24" s="506"/>
    </row>
    <row r="25" spans="1:17">
      <c r="A25" s="115"/>
      <c r="B25" s="115"/>
      <c r="C25" s="392"/>
      <c r="D25" s="392"/>
      <c r="E25" s="392"/>
      <c r="F25" s="392"/>
      <c r="G25" s="392"/>
      <c r="H25" s="392"/>
      <c r="I25" s="392"/>
      <c r="J25" s="433" t="s">
        <v>356</v>
      </c>
      <c r="K25" s="432">
        <f>SUM(K21:K24)</f>
        <v>97</v>
      </c>
      <c r="L25" s="433"/>
      <c r="M25" s="432">
        <f>SUM(M21:M24)</f>
        <v>10</v>
      </c>
      <c r="N25" s="115"/>
      <c r="O25" s="115"/>
      <c r="P25" s="519">
        <v>175</v>
      </c>
      <c r="Q25" s="519">
        <v>10</v>
      </c>
    </row>
    <row r="26" spans="1:17">
      <c r="A26" s="115"/>
      <c r="B26" s="115"/>
      <c r="C26" s="392"/>
      <c r="D26" s="392"/>
      <c r="E26" s="392"/>
      <c r="F26" s="392"/>
      <c r="G26" s="392"/>
      <c r="H26" s="392"/>
      <c r="I26" s="392"/>
      <c r="J26" s="433"/>
      <c r="K26" s="433"/>
      <c r="L26" s="392"/>
      <c r="M26" s="392"/>
      <c r="N26" s="392"/>
      <c r="O26" s="115"/>
      <c r="P26" s="506"/>
      <c r="Q26" s="506"/>
    </row>
    <row r="27" spans="1:17">
      <c r="A27" s="115" t="s">
        <v>817</v>
      </c>
      <c r="B27" s="115"/>
      <c r="C27" s="115"/>
      <c r="D27" s="115"/>
      <c r="E27" s="115"/>
      <c r="F27" s="115"/>
      <c r="G27" s="115"/>
      <c r="H27" s="115"/>
      <c r="I27" s="115"/>
      <c r="J27" s="386"/>
      <c r="K27" s="433">
        <f>(M25/1000)*24*HsLength</f>
        <v>58.32</v>
      </c>
      <c r="L27" s="392"/>
      <c r="M27" s="392"/>
      <c r="N27" s="392"/>
      <c r="O27" s="115"/>
      <c r="P27" s="519">
        <f>(Q25/1000)*24*HsLength</f>
        <v>58.32</v>
      </c>
      <c r="Q27" s="506"/>
    </row>
    <row r="28" spans="1:17">
      <c r="A28" s="115" t="s">
        <v>818</v>
      </c>
      <c r="B28" s="115"/>
      <c r="C28" s="115"/>
      <c r="D28" s="115"/>
      <c r="E28" s="115"/>
      <c r="F28" s="115"/>
      <c r="G28" s="115"/>
      <c r="H28" s="392"/>
      <c r="I28" s="115"/>
      <c r="J28" s="386"/>
      <c r="K28" s="389">
        <f>AVERAGE(HtUse!C51:G51,HtUse!L51:N51)</f>
        <v>0.8819244850767437</v>
      </c>
      <c r="L28" s="115"/>
      <c r="M28" s="392"/>
      <c r="N28" s="392"/>
      <c r="O28" s="115"/>
      <c r="P28" s="511">
        <f>AVERAGE(HtUse!Q51:U51,HtUse!Z51:AB51)</f>
        <v>0.89070948746573375</v>
      </c>
      <c r="Q28" s="506"/>
    </row>
    <row r="29" spans="1:17">
      <c r="A29" s="115" t="s">
        <v>819</v>
      </c>
      <c r="B29" s="115"/>
      <c r="C29" s="115"/>
      <c r="D29" s="115"/>
      <c r="E29" s="115"/>
      <c r="F29" s="115"/>
      <c r="G29" s="115"/>
      <c r="H29" s="392"/>
      <c r="I29" s="115"/>
      <c r="J29" s="386"/>
      <c r="K29" s="433">
        <f>K27*K28</f>
        <v>51.433835969675691</v>
      </c>
      <c r="L29" s="392"/>
      <c r="M29" s="392"/>
      <c r="N29" s="392"/>
      <c r="O29" s="115"/>
      <c r="P29" s="519">
        <f>P27*P28</f>
        <v>51.946177309001591</v>
      </c>
      <c r="Q29" s="506"/>
    </row>
    <row r="30" spans="1:17">
      <c r="A30" s="115" t="s">
        <v>820</v>
      </c>
      <c r="B30" s="115"/>
      <c r="C30" s="115"/>
      <c r="D30" s="115"/>
      <c r="E30" s="115"/>
      <c r="F30" s="115"/>
      <c r="G30" s="115"/>
      <c r="H30" s="392"/>
      <c r="I30" s="115"/>
      <c r="J30" s="386"/>
      <c r="K30" s="432">
        <f>H14-K29</f>
        <v>2821.1538299086405</v>
      </c>
      <c r="L30" s="392"/>
      <c r="M30" s="392"/>
      <c r="N30" s="392"/>
      <c r="O30" s="115"/>
      <c r="P30" s="519">
        <f>P14-P29</f>
        <v>6531.2151567335241</v>
      </c>
      <c r="Q30" s="506"/>
    </row>
    <row r="31" spans="1:17">
      <c r="A31" s="115"/>
      <c r="B31" s="115"/>
      <c r="C31" s="392"/>
      <c r="D31" s="392"/>
      <c r="E31" s="392"/>
      <c r="F31" s="392"/>
      <c r="G31" s="392"/>
      <c r="H31" s="392"/>
      <c r="I31" s="392"/>
      <c r="J31" s="433"/>
      <c r="K31" s="433"/>
      <c r="L31" s="392"/>
      <c r="M31" s="392"/>
      <c r="N31" s="392"/>
      <c r="O31" s="115"/>
      <c r="P31" s="506"/>
      <c r="Q31" s="506"/>
    </row>
    <row r="32" spans="1:17" ht="13">
      <c r="A32" s="3" t="s">
        <v>821</v>
      </c>
      <c r="B32" s="115"/>
      <c r="C32" s="115"/>
      <c r="D32" s="115"/>
      <c r="E32" s="349"/>
      <c r="F32" s="349"/>
      <c r="G32" s="29"/>
      <c r="H32" s="115"/>
      <c r="I32" s="115"/>
      <c r="J32" s="433"/>
      <c r="K32" s="433"/>
      <c r="L32" s="392"/>
      <c r="M32" s="392"/>
      <c r="N32" s="392"/>
      <c r="O32" s="115"/>
      <c r="P32" s="506"/>
      <c r="Q32" s="506"/>
    </row>
    <row r="33" spans="1:16">
      <c r="A33" s="115" t="s">
        <v>822</v>
      </c>
      <c r="B33" s="115"/>
      <c r="C33" s="115"/>
      <c r="D33" s="115"/>
      <c r="E33" s="115"/>
      <c r="F33" s="115"/>
      <c r="G33" s="392"/>
      <c r="H33" s="392"/>
      <c r="I33" s="115"/>
      <c r="J33" s="445" t="s">
        <v>250</v>
      </c>
      <c r="K33" s="433">
        <f>VLOOKUP(J33,$A$51:$B$53,2,FALSE)</f>
        <v>0</v>
      </c>
      <c r="L33" s="392"/>
      <c r="M33" s="392"/>
      <c r="N33" s="392"/>
      <c r="O33" s="115"/>
      <c r="P33" s="506"/>
    </row>
    <row r="34" spans="1:16" ht="14.5">
      <c r="A34" s="115" t="s">
        <v>823</v>
      </c>
      <c r="B34" s="115"/>
      <c r="C34" s="115"/>
      <c r="D34" s="115"/>
      <c r="E34" s="115"/>
      <c r="F34" s="115"/>
      <c r="G34" s="392"/>
      <c r="H34" s="392"/>
      <c r="I34" s="115"/>
      <c r="J34" s="115"/>
      <c r="K34" s="443"/>
      <c r="L34" s="115"/>
      <c r="M34" s="115"/>
      <c r="N34" s="115"/>
      <c r="O34" s="115"/>
      <c r="P34" s="506"/>
    </row>
    <row r="35" spans="1:16">
      <c r="A35" s="115" t="s">
        <v>824</v>
      </c>
      <c r="B35" s="115"/>
      <c r="C35" s="115"/>
      <c r="D35" s="115"/>
      <c r="E35" s="115"/>
      <c r="F35" s="115"/>
      <c r="G35" s="392"/>
      <c r="H35" s="392"/>
      <c r="I35" s="115"/>
      <c r="J35" s="115"/>
      <c r="K35" s="389">
        <f>IF(Vent!G13&lt;2,1,1/(Vent!G13-0.5))</f>
        <v>0.66666666666666663</v>
      </c>
      <c r="L35" s="115"/>
      <c r="M35" s="115"/>
      <c r="N35" s="115"/>
      <c r="O35" s="115"/>
      <c r="P35" s="506"/>
    </row>
    <row r="36" spans="1:16">
      <c r="A36" s="115" t="s">
        <v>825</v>
      </c>
      <c r="B36" s="115"/>
      <c r="C36" s="115"/>
      <c r="D36" s="115"/>
      <c r="E36" s="115"/>
      <c r="F36" s="115"/>
      <c r="G36" s="392"/>
      <c r="H36" s="392"/>
      <c r="I36" s="115"/>
      <c r="J36" s="115"/>
      <c r="K36" s="433">
        <f>IF(K33,IF(K34=0,0,(0.12/(1/K34))*K30*K35),0)</f>
        <v>0</v>
      </c>
      <c r="L36" s="392"/>
      <c r="M36" s="115"/>
      <c r="N36" s="115"/>
      <c r="O36" s="115"/>
      <c r="P36" s="519"/>
    </row>
    <row r="37" spans="1:16">
      <c r="A37" s="115" t="s">
        <v>826</v>
      </c>
      <c r="B37" s="115"/>
      <c r="C37" s="115"/>
      <c r="D37" s="115"/>
      <c r="E37" s="115"/>
      <c r="F37" s="115"/>
      <c r="G37" s="115"/>
      <c r="H37" s="115"/>
      <c r="I37" s="115"/>
      <c r="J37" s="115"/>
      <c r="K37" s="432">
        <f>K30+K36</f>
        <v>2821.1538299086405</v>
      </c>
      <c r="L37" s="115"/>
      <c r="M37" s="115"/>
      <c r="N37" s="115"/>
      <c r="O37" s="115"/>
      <c r="P37" s="519">
        <f>P30</f>
        <v>6531.2151567335241</v>
      </c>
    </row>
    <row r="38" spans="1:16">
      <c r="A38" s="115"/>
      <c r="B38" s="115"/>
      <c r="C38" s="115"/>
      <c r="D38" s="115"/>
      <c r="E38" s="115"/>
      <c r="F38" s="115"/>
      <c r="G38" s="115"/>
      <c r="H38" s="115"/>
      <c r="I38" s="115"/>
      <c r="J38" s="115"/>
      <c r="K38" s="115"/>
      <c r="L38" s="115"/>
      <c r="M38" s="115"/>
      <c r="N38" s="115"/>
      <c r="O38" s="115"/>
      <c r="P38" s="506"/>
    </row>
    <row r="39" spans="1:16" ht="13">
      <c r="A39" s="3" t="s">
        <v>827</v>
      </c>
      <c r="B39" s="115"/>
      <c r="C39" s="115"/>
      <c r="D39" s="115"/>
      <c r="E39" s="701" t="s">
        <v>828</v>
      </c>
      <c r="F39" s="701"/>
      <c r="G39" s="701"/>
      <c r="H39" s="701"/>
      <c r="I39" s="386">
        <f>VLOOKUP(E39,A56:E58,5,FALSE)</f>
        <v>1</v>
      </c>
      <c r="J39" s="115"/>
      <c r="K39" s="115"/>
      <c r="L39" s="115"/>
      <c r="M39" s="115"/>
      <c r="N39" s="115"/>
      <c r="O39" s="115"/>
      <c r="P39" s="506"/>
    </row>
    <row r="40" spans="1:16">
      <c r="A40" s="115"/>
      <c r="B40" s="115" t="s">
        <v>829</v>
      </c>
      <c r="C40" s="115"/>
      <c r="D40" s="115"/>
      <c r="E40" s="115"/>
      <c r="F40" s="115"/>
      <c r="G40" s="115"/>
      <c r="H40" s="115"/>
      <c r="I40" s="115"/>
      <c r="J40" s="115"/>
      <c r="K40" s="115"/>
      <c r="L40" s="392"/>
      <c r="M40" s="115"/>
      <c r="N40" s="115"/>
      <c r="O40" s="115"/>
      <c r="P40" s="506"/>
    </row>
    <row r="41" spans="1:16">
      <c r="A41" s="115"/>
      <c r="B41" s="115"/>
      <c r="C41" s="115"/>
      <c r="D41" s="115"/>
      <c r="E41" s="115"/>
      <c r="F41" s="115"/>
      <c r="G41" s="115"/>
      <c r="H41" s="115"/>
      <c r="I41" s="115"/>
      <c r="J41" s="115"/>
      <c r="K41" s="115"/>
      <c r="L41" s="392"/>
      <c r="M41" s="115"/>
      <c r="N41" s="115"/>
      <c r="O41" s="115"/>
      <c r="P41" s="506"/>
    </row>
    <row r="42" spans="1:16">
      <c r="A42" s="115"/>
      <c r="B42" s="115"/>
      <c r="C42" s="115"/>
      <c r="D42" s="115"/>
      <c r="E42" s="115"/>
      <c r="F42" s="115"/>
      <c r="G42" s="115"/>
      <c r="H42" s="115"/>
      <c r="I42" s="115"/>
      <c r="J42" s="115"/>
      <c r="K42" s="115"/>
      <c r="L42" s="392"/>
      <c r="M42" s="115"/>
      <c r="N42" s="115"/>
      <c r="O42" s="115"/>
      <c r="P42" s="506"/>
    </row>
    <row r="43" spans="1:16" ht="13">
      <c r="A43" s="3" t="s">
        <v>225</v>
      </c>
      <c r="B43" s="115"/>
      <c r="C43" s="115"/>
      <c r="D43" s="115"/>
      <c r="E43" s="115"/>
      <c r="F43" s="115"/>
      <c r="G43" s="115"/>
      <c r="H43" s="115"/>
      <c r="I43" s="115"/>
      <c r="J43" s="115"/>
      <c r="K43" s="115"/>
      <c r="L43" s="115"/>
      <c r="M43" s="115"/>
      <c r="N43" s="115"/>
      <c r="O43" s="115"/>
      <c r="P43" s="506"/>
    </row>
    <row r="44" spans="1:16" ht="13">
      <c r="A44" s="3" t="s">
        <v>830</v>
      </c>
      <c r="B44" s="115" t="s">
        <v>831</v>
      </c>
      <c r="C44" s="115"/>
      <c r="D44" s="115"/>
      <c r="E44" s="115"/>
      <c r="F44" s="115"/>
      <c r="G44" s="115"/>
      <c r="H44" s="115"/>
      <c r="I44" s="115"/>
      <c r="J44" s="115"/>
      <c r="K44" s="115"/>
      <c r="L44" s="115"/>
      <c r="M44" s="115"/>
      <c r="N44" s="115"/>
      <c r="O44" s="115"/>
      <c r="P44" s="506"/>
    </row>
    <row r="45" spans="1:16">
      <c r="A45" s="115">
        <v>1</v>
      </c>
      <c r="B45" s="115">
        <v>1.2</v>
      </c>
      <c r="C45" s="115"/>
      <c r="D45" s="115"/>
      <c r="E45" s="115"/>
      <c r="F45" s="115"/>
      <c r="G45" s="115"/>
      <c r="H45" s="115"/>
      <c r="I45" s="115"/>
      <c r="J45" s="115"/>
      <c r="K45" s="115"/>
      <c r="L45" s="115"/>
      <c r="M45" s="115"/>
      <c r="N45" s="115"/>
      <c r="O45" s="115"/>
      <c r="P45" s="506"/>
    </row>
    <row r="46" spans="1:16">
      <c r="A46" s="115">
        <v>2</v>
      </c>
      <c r="B46" s="115">
        <v>0.5</v>
      </c>
      <c r="C46" s="115"/>
      <c r="D46" s="115"/>
      <c r="E46" s="115"/>
      <c r="F46" s="115"/>
      <c r="G46" s="115"/>
      <c r="H46" s="115"/>
      <c r="I46" s="115"/>
      <c r="J46" s="115"/>
      <c r="K46" s="115"/>
      <c r="L46" s="115"/>
      <c r="M46" s="115"/>
      <c r="N46" s="115"/>
      <c r="O46" s="115"/>
      <c r="P46" s="506"/>
    </row>
    <row r="47" spans="1:16">
      <c r="A47" s="115">
        <v>3</v>
      </c>
      <c r="B47" s="115">
        <v>0</v>
      </c>
      <c r="C47" s="115"/>
      <c r="D47" s="115"/>
      <c r="E47" s="115"/>
      <c r="F47" s="115"/>
      <c r="G47" s="115"/>
      <c r="H47" s="115"/>
      <c r="I47" s="115"/>
      <c r="J47" s="115"/>
      <c r="K47" s="115"/>
      <c r="L47" s="115"/>
      <c r="M47" s="115"/>
      <c r="N47" s="115"/>
      <c r="O47" s="115"/>
      <c r="P47" s="506"/>
    </row>
    <row r="48" spans="1:16">
      <c r="A48" s="115">
        <v>0</v>
      </c>
      <c r="B48" s="115">
        <f>B45</f>
        <v>1.2</v>
      </c>
      <c r="C48" s="115"/>
      <c r="D48" s="115"/>
      <c r="E48" s="115"/>
      <c r="F48" s="115"/>
      <c r="G48" s="115"/>
      <c r="H48" s="115"/>
      <c r="I48" s="115"/>
      <c r="J48" s="115"/>
      <c r="K48" s="115"/>
      <c r="L48" s="115"/>
      <c r="M48" s="115"/>
      <c r="N48" s="115"/>
      <c r="O48" s="115"/>
      <c r="P48" s="506"/>
    </row>
    <row r="50" spans="1:5" ht="13">
      <c r="A50" s="3" t="s">
        <v>342</v>
      </c>
      <c r="B50" s="115"/>
      <c r="C50" s="115"/>
      <c r="D50" s="115"/>
      <c r="E50" s="115"/>
    </row>
    <row r="51" spans="1:5">
      <c r="A51" s="115" t="s">
        <v>245</v>
      </c>
      <c r="B51" s="115">
        <v>1</v>
      </c>
      <c r="C51" s="115"/>
      <c r="D51" s="115"/>
      <c r="E51" s="115"/>
    </row>
    <row r="52" spans="1:5">
      <c r="A52" s="115" t="s">
        <v>246</v>
      </c>
      <c r="B52" s="115">
        <v>0</v>
      </c>
      <c r="C52" s="115"/>
      <c r="D52" s="115"/>
      <c r="E52" s="115"/>
    </row>
    <row r="53" spans="1:5">
      <c r="A53" s="115" t="s">
        <v>250</v>
      </c>
      <c r="B53" s="115">
        <v>0</v>
      </c>
      <c r="C53" s="115"/>
      <c r="D53" s="115"/>
      <c r="E53" s="115"/>
    </row>
    <row r="55" spans="1:5" ht="13">
      <c r="A55" s="3" t="s">
        <v>832</v>
      </c>
      <c r="B55" s="115"/>
      <c r="C55" s="115"/>
      <c r="D55" s="115"/>
      <c r="E55" s="115"/>
    </row>
    <row r="56" spans="1:5">
      <c r="A56" s="115" t="s">
        <v>828</v>
      </c>
      <c r="B56" s="115"/>
      <c r="C56" s="115"/>
      <c r="D56" s="115"/>
      <c r="E56" s="115">
        <v>1</v>
      </c>
    </row>
    <row r="57" spans="1:5">
      <c r="A57" s="115" t="s">
        <v>833</v>
      </c>
      <c r="B57" s="115"/>
      <c r="C57" s="115"/>
      <c r="D57" s="115"/>
      <c r="E57" s="115">
        <v>2</v>
      </c>
    </row>
    <row r="58" spans="1:5">
      <c r="A58" s="115" t="s">
        <v>250</v>
      </c>
      <c r="B58" s="115"/>
      <c r="C58" s="115"/>
      <c r="D58" s="115"/>
      <c r="E58" s="115">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453125" customWidth="1"/>
    <col min="8" max="9" width="13.453125" bestFit="1" customWidth="1"/>
    <col min="10" max="10" width="24.81640625" bestFit="1" customWidth="1"/>
    <col min="21" max="21" width="50.54296875" hidden="1" customWidth="1"/>
  </cols>
  <sheetData>
    <row r="1" spans="1:21" s="1" customFormat="1" ht="18" customHeight="1">
      <c r="A1" s="12" t="s">
        <v>834</v>
      </c>
      <c r="B1" s="14"/>
      <c r="C1" s="381"/>
      <c r="D1" s="381"/>
      <c r="E1" s="381"/>
      <c r="F1" s="15"/>
      <c r="G1" s="15"/>
      <c r="H1" s="381"/>
      <c r="I1" s="381"/>
      <c r="J1" s="381"/>
      <c r="K1" s="381"/>
      <c r="L1" s="381"/>
      <c r="M1" s="381"/>
      <c r="N1" s="381"/>
      <c r="O1" s="381"/>
      <c r="P1" s="381"/>
      <c r="R1" s="503" t="s">
        <v>270</v>
      </c>
      <c r="S1" s="516"/>
      <c r="U1" s="615" t="s">
        <v>835</v>
      </c>
    </row>
    <row r="2" spans="1:21">
      <c r="A2" s="115"/>
      <c r="B2" s="115"/>
      <c r="C2" s="115"/>
      <c r="D2" s="115"/>
      <c r="E2" s="115"/>
      <c r="F2" s="115"/>
      <c r="G2" s="115"/>
      <c r="H2" s="115"/>
      <c r="I2" s="115"/>
      <c r="J2" s="115"/>
      <c r="K2" s="115"/>
      <c r="L2" s="115"/>
      <c r="M2" s="115"/>
      <c r="N2" s="115"/>
      <c r="O2" s="115"/>
      <c r="P2" s="115"/>
      <c r="Q2" s="115"/>
      <c r="R2" s="506"/>
      <c r="S2" s="506"/>
      <c r="U2" s="195"/>
    </row>
    <row r="3" spans="1:21" ht="26">
      <c r="A3" s="115" t="s">
        <v>836</v>
      </c>
      <c r="B3" s="115"/>
      <c r="C3" s="115"/>
      <c r="D3" s="115"/>
      <c r="E3" s="115"/>
      <c r="F3" s="115"/>
      <c r="G3" s="115"/>
      <c r="H3" s="625" t="s">
        <v>246</v>
      </c>
      <c r="I3" s="115"/>
      <c r="J3" s="115"/>
      <c r="K3" s="115"/>
      <c r="L3" s="115"/>
      <c r="M3" s="115"/>
      <c r="N3" s="115"/>
      <c r="O3" s="363"/>
      <c r="P3" s="115"/>
      <c r="Q3" s="115"/>
      <c r="R3" s="506"/>
      <c r="S3" s="506"/>
      <c r="U3" s="616" t="s">
        <v>837</v>
      </c>
    </row>
    <row r="4" spans="1:21" ht="13">
      <c r="A4" s="115" t="s">
        <v>838</v>
      </c>
      <c r="D4" s="115"/>
      <c r="E4" s="115"/>
      <c r="F4" s="115"/>
      <c r="G4" s="115"/>
      <c r="H4" s="613">
        <f>IF(H3="No",0,tfa)</f>
        <v>0</v>
      </c>
      <c r="I4" s="115" t="s">
        <v>839</v>
      </c>
      <c r="J4" s="115"/>
      <c r="K4" s="115"/>
      <c r="L4" s="115"/>
      <c r="M4" s="115"/>
      <c r="N4" s="115"/>
      <c r="O4" s="115"/>
      <c r="P4" s="115"/>
      <c r="Q4" s="115"/>
      <c r="R4" s="702" t="s">
        <v>840</v>
      </c>
      <c r="S4" s="702"/>
      <c r="U4" s="616" t="s">
        <v>841</v>
      </c>
    </row>
    <row r="5" spans="1:21" ht="39">
      <c r="A5" s="115" t="s">
        <v>842</v>
      </c>
      <c r="B5" s="115"/>
      <c r="C5" s="115"/>
      <c r="D5" s="115"/>
      <c r="E5" s="115"/>
      <c r="F5" s="115"/>
      <c r="G5" s="115"/>
      <c r="H5" s="683" t="s">
        <v>843</v>
      </c>
      <c r="I5" s="683"/>
      <c r="J5" s="115" t="s">
        <v>844</v>
      </c>
      <c r="K5" s="115"/>
      <c r="M5" s="683" t="s">
        <v>845</v>
      </c>
      <c r="N5" s="683"/>
      <c r="O5" s="683"/>
      <c r="P5" s="115"/>
      <c r="Q5" s="115"/>
      <c r="R5" s="702"/>
      <c r="S5" s="702"/>
      <c r="U5" s="616" t="s">
        <v>846</v>
      </c>
    </row>
    <row r="6" spans="1:21" ht="65">
      <c r="A6" s="115" t="s">
        <v>847</v>
      </c>
      <c r="B6" s="115"/>
      <c r="C6" s="115"/>
      <c r="D6" s="115"/>
      <c r="E6" s="115"/>
      <c r="F6" s="115"/>
      <c r="G6" s="115"/>
      <c r="H6" s="382">
        <v>2.16</v>
      </c>
      <c r="I6" s="115"/>
      <c r="J6" s="115"/>
      <c r="K6" s="115"/>
      <c r="L6" s="115"/>
      <c r="M6" s="115"/>
      <c r="N6" s="115"/>
      <c r="O6" s="363" t="s">
        <v>206</v>
      </c>
      <c r="P6" s="115"/>
      <c r="Q6" s="115"/>
      <c r="R6" s="506"/>
      <c r="S6" s="506"/>
      <c r="U6" s="616" t="s">
        <v>848</v>
      </c>
    </row>
    <row r="7" spans="1:21" ht="13">
      <c r="A7" s="115" t="s">
        <v>849</v>
      </c>
      <c r="B7" s="115"/>
      <c r="C7" s="115"/>
      <c r="D7" s="115"/>
      <c r="E7" s="115"/>
      <c r="F7" s="115"/>
      <c r="G7" s="115"/>
      <c r="H7" s="182" t="s">
        <v>850</v>
      </c>
      <c r="I7" s="611"/>
      <c r="J7" s="611"/>
      <c r="K7" s="611"/>
      <c r="L7" s="115"/>
      <c r="M7" s="115"/>
      <c r="N7" s="115"/>
      <c r="O7" s="115" t="s">
        <v>206</v>
      </c>
      <c r="P7" s="115"/>
      <c r="Q7" s="115"/>
      <c r="R7" s="506"/>
      <c r="S7" s="506"/>
      <c r="U7" s="616" t="s">
        <v>851</v>
      </c>
    </row>
    <row r="8" spans="1:21">
      <c r="A8" s="115"/>
      <c r="B8" s="115"/>
      <c r="C8" s="115"/>
      <c r="D8" s="115"/>
      <c r="E8" s="115"/>
      <c r="F8" s="115"/>
      <c r="G8" s="115"/>
      <c r="H8" s="115"/>
      <c r="I8" s="115"/>
      <c r="J8" s="115"/>
      <c r="K8" s="115"/>
      <c r="L8" s="115"/>
      <c r="M8" s="115"/>
      <c r="N8" s="115"/>
      <c r="O8" s="115"/>
      <c r="P8" s="115"/>
      <c r="Q8" s="115"/>
      <c r="R8" s="506"/>
      <c r="S8" s="506"/>
      <c r="U8" s="195"/>
    </row>
    <row r="9" spans="1:21" ht="13">
      <c r="A9" s="3" t="s">
        <v>206</v>
      </c>
      <c r="B9" s="115"/>
      <c r="C9" s="60" t="s">
        <v>638</v>
      </c>
      <c r="D9" s="60" t="s">
        <v>639</v>
      </c>
      <c r="E9" s="60" t="s">
        <v>640</v>
      </c>
      <c r="F9" s="60" t="s">
        <v>641</v>
      </c>
      <c r="G9" s="60" t="s">
        <v>642</v>
      </c>
      <c r="H9" s="60" t="s">
        <v>643</v>
      </c>
      <c r="I9" s="60" t="s">
        <v>644</v>
      </c>
      <c r="J9" s="60" t="s">
        <v>645</v>
      </c>
      <c r="K9" s="60" t="s">
        <v>646</v>
      </c>
      <c r="L9" s="60" t="s">
        <v>647</v>
      </c>
      <c r="M9" s="60" t="s">
        <v>648</v>
      </c>
      <c r="N9" s="60" t="s">
        <v>649</v>
      </c>
      <c r="O9" s="115"/>
      <c r="P9" s="115"/>
      <c r="Q9" s="115"/>
      <c r="R9" s="506"/>
      <c r="S9" s="506"/>
      <c r="U9" s="195"/>
    </row>
    <row r="10" spans="1:21" ht="13">
      <c r="A10" s="115" t="s">
        <v>852</v>
      </c>
      <c r="B10" s="115"/>
      <c r="C10" s="60"/>
      <c r="D10" s="60"/>
      <c r="E10" s="60"/>
      <c r="F10" s="60"/>
      <c r="G10" s="60"/>
      <c r="H10" s="60">
        <f>HtUse!H54</f>
        <v>30</v>
      </c>
      <c r="I10" s="60">
        <f>HtUse!I54</f>
        <v>31</v>
      </c>
      <c r="J10" s="60">
        <f>HtUse!J54</f>
        <v>31</v>
      </c>
      <c r="K10" s="60"/>
      <c r="L10" s="60"/>
      <c r="M10" s="60"/>
      <c r="N10" s="60"/>
      <c r="O10" s="115"/>
      <c r="P10" s="115"/>
      <c r="Q10" s="115"/>
      <c r="R10" s="506"/>
      <c r="S10" s="506"/>
      <c r="U10" s="616"/>
    </row>
    <row r="11" spans="1:21" ht="13">
      <c r="A11" s="115" t="s">
        <v>853</v>
      </c>
      <c r="B11" s="115"/>
      <c r="C11" s="60"/>
      <c r="D11" s="60"/>
      <c r="E11" s="60"/>
      <c r="F11" s="60"/>
      <c r="G11" s="60"/>
      <c r="H11" s="60">
        <f>$B$31</f>
        <v>24</v>
      </c>
      <c r="I11" s="60">
        <f t="shared" ref="I11:J11" si="0">$B$31</f>
        <v>24</v>
      </c>
      <c r="J11" s="60">
        <f t="shared" si="0"/>
        <v>24</v>
      </c>
      <c r="K11" s="60"/>
      <c r="L11" s="60"/>
      <c r="M11" s="60"/>
      <c r="N11" s="60"/>
      <c r="O11" s="363"/>
      <c r="P11" s="115"/>
      <c r="Q11" s="115"/>
      <c r="R11" s="506"/>
      <c r="S11" s="506"/>
      <c r="U11" s="616"/>
    </row>
    <row r="12" spans="1:21">
      <c r="A12" s="115" t="s">
        <v>854</v>
      </c>
      <c r="B12" s="115"/>
      <c r="C12" s="396">
        <f>HtUse!B77</f>
        <v>5.3</v>
      </c>
      <c r="D12" s="396">
        <f>HtUse!C77</f>
        <v>5.5</v>
      </c>
      <c r="E12" s="396">
        <f>HtUse!D77</f>
        <v>7</v>
      </c>
      <c r="F12" s="396">
        <f>HtUse!E77</f>
        <v>8.3000000000000007</v>
      </c>
      <c r="G12" s="396">
        <f>HtUse!F77</f>
        <v>11</v>
      </c>
      <c r="H12" s="396">
        <f>HtUse!G77</f>
        <v>13.5</v>
      </c>
      <c r="I12" s="396">
        <f>HtUse!H77</f>
        <v>15.5</v>
      </c>
      <c r="J12" s="396">
        <f>HtUse!I77</f>
        <v>15.2</v>
      </c>
      <c r="K12" s="396">
        <f>HtUse!J77</f>
        <v>13.3</v>
      </c>
      <c r="L12" s="396">
        <f>HtUse!K77</f>
        <v>10.4</v>
      </c>
      <c r="M12" s="396">
        <f>HtUse!L77</f>
        <v>7.5</v>
      </c>
      <c r="N12" s="396">
        <f>HtUse!M77</f>
        <v>6</v>
      </c>
      <c r="O12" s="115"/>
      <c r="P12" s="115"/>
      <c r="Q12" s="115"/>
      <c r="R12" s="506"/>
      <c r="S12" s="506"/>
      <c r="U12" s="195"/>
    </row>
    <row r="13" spans="1:21" ht="13">
      <c r="A13" s="154" t="s">
        <v>855</v>
      </c>
      <c r="B13" s="115"/>
      <c r="C13" s="115"/>
      <c r="D13" s="115"/>
      <c r="E13" s="115"/>
      <c r="F13" s="115"/>
      <c r="G13" s="115"/>
      <c r="H13" s="601">
        <f>hlc*(Cooling!H11-Cooling!H12)</f>
        <v>1328.03272505625</v>
      </c>
      <c r="I13" s="601">
        <f>hlc*(Cooling!I11-Cooling!I12)</f>
        <v>1075.0741107598215</v>
      </c>
      <c r="J13" s="601">
        <f>hlc*(Cooling!J11-Cooling!J12)</f>
        <v>1113.0179029042856</v>
      </c>
      <c r="K13" s="115"/>
      <c r="L13" s="115"/>
      <c r="M13" s="115"/>
      <c r="N13" s="115"/>
      <c r="O13" s="115"/>
      <c r="P13" s="115"/>
      <c r="Q13" s="115"/>
      <c r="R13" s="503"/>
      <c r="S13" s="506"/>
      <c r="U13" s="616"/>
    </row>
    <row r="14" spans="1:21" ht="15.5">
      <c r="A14" s="603" t="s">
        <v>856</v>
      </c>
      <c r="B14" s="115"/>
      <c r="C14" s="115"/>
      <c r="D14" s="115"/>
      <c r="E14" s="115"/>
      <c r="F14" s="115"/>
      <c r="G14" s="115"/>
      <c r="H14" s="605">
        <f>(HtUse!G11*1000)/(3.6*hlp)</f>
        <v>55.345021710129053</v>
      </c>
      <c r="I14" s="604"/>
      <c r="J14" s="604"/>
      <c r="K14" s="115"/>
      <c r="L14" s="115"/>
      <c r="M14" s="115"/>
      <c r="N14" s="115"/>
      <c r="O14" s="363"/>
      <c r="P14" s="115"/>
      <c r="Q14" s="115"/>
      <c r="R14" s="503"/>
      <c r="S14" s="506"/>
      <c r="U14" s="616"/>
    </row>
    <row r="15" spans="1:21" ht="15.5">
      <c r="A15" s="603" t="s">
        <v>857</v>
      </c>
      <c r="B15" s="115"/>
      <c r="C15" s="115"/>
      <c r="D15" s="115"/>
      <c r="E15" s="115"/>
      <c r="F15" s="115"/>
      <c r="G15" s="115"/>
      <c r="H15" s="607">
        <f>1+H14/15</f>
        <v>4.6896681140086036</v>
      </c>
      <c r="I15" s="604"/>
      <c r="J15" s="604"/>
      <c r="K15" s="115"/>
      <c r="L15" s="115"/>
      <c r="M15" s="115"/>
      <c r="N15" s="115"/>
      <c r="O15" s="115"/>
      <c r="P15" s="115"/>
      <c r="Q15" s="115"/>
      <c r="R15" s="503"/>
      <c r="S15" s="506"/>
    </row>
    <row r="16" spans="1:21" ht="26">
      <c r="A16" s="154" t="s">
        <v>858</v>
      </c>
      <c r="B16" s="115"/>
      <c r="C16" s="115"/>
      <c r="D16" s="115"/>
      <c r="E16" s="115"/>
      <c r="F16" s="115"/>
      <c r="G16" s="115"/>
      <c r="H16" s="608">
        <f>SUM(Light!$E64:$E67,Light!$E69,HtUse!H42)</f>
        <v>1536.0533125988068</v>
      </c>
      <c r="I16" s="608">
        <f>SUM(Light!$E64:$E67,Light!$E69,HtUse!I42)</f>
        <v>1457.5156225988067</v>
      </c>
      <c r="J16" s="608">
        <f>SUM(Light!$E64:$E67,Light!$E69,HtUse!J42)</f>
        <v>1369.9429450988068</v>
      </c>
      <c r="K16" s="115"/>
      <c r="L16" s="115"/>
      <c r="M16" s="115"/>
      <c r="N16" s="115"/>
      <c r="O16" s="115"/>
      <c r="P16" s="115"/>
      <c r="Q16" s="115"/>
      <c r="R16" s="530" t="s">
        <v>206</v>
      </c>
      <c r="S16" s="506"/>
      <c r="U16" s="616" t="s">
        <v>859</v>
      </c>
    </row>
    <row r="17" spans="1:21" ht="13">
      <c r="A17" s="602" t="s">
        <v>860</v>
      </c>
      <c r="B17" s="115"/>
      <c r="C17" s="115"/>
      <c r="D17" s="115"/>
      <c r="E17" s="115"/>
      <c r="F17" s="115"/>
      <c r="G17" s="115"/>
      <c r="H17" s="612">
        <f>IF(H13=0,10^6,H16/H13)</f>
        <v>1.156638148757777</v>
      </c>
      <c r="I17" s="612">
        <f t="shared" ref="I17:J17" si="1">IF(I13=0,10^6,I16/I13)</f>
        <v>1.3557350214383732</v>
      </c>
      <c r="J17" s="612">
        <f t="shared" si="1"/>
        <v>1.2308363967229157</v>
      </c>
      <c r="K17" s="115"/>
      <c r="L17" s="115"/>
      <c r="M17" s="115"/>
      <c r="N17" s="115"/>
      <c r="O17" s="115"/>
      <c r="P17" s="115"/>
      <c r="Q17" s="115"/>
      <c r="R17" s="503"/>
      <c r="S17" s="506"/>
      <c r="U17" s="616"/>
    </row>
    <row r="18" spans="1:21" ht="15.5">
      <c r="A18" s="115" t="s">
        <v>861</v>
      </c>
      <c r="B18" s="115"/>
      <c r="C18" s="115"/>
      <c r="D18" s="115"/>
      <c r="E18" s="115"/>
      <c r="F18" s="115"/>
      <c r="G18" s="115"/>
      <c r="H18" s="601">
        <f>IF(H17=1,$H15/($H15+1),IF(H17&gt;0,(1-(H17)^-$H15)/(1-(H17)^-($H15+1)),1))</f>
        <v>0.87844463619510282</v>
      </c>
      <c r="I18" s="601">
        <f t="shared" ref="I18:J18" si="2">IF(I17=1,$H15/($H15+1),IF(I17&gt;0,(1-(I17)^-$H15)/(1-(I17)^-($H15+1)),1))</f>
        <v>0.92349407389620497</v>
      </c>
      <c r="J18" s="601">
        <f t="shared" si="2"/>
        <v>0.89785740354698074</v>
      </c>
      <c r="K18" s="115"/>
      <c r="L18" s="115"/>
      <c r="M18" s="115"/>
      <c r="N18" s="115"/>
      <c r="O18" s="115"/>
      <c r="P18" s="115"/>
      <c r="Q18" s="115"/>
      <c r="R18" s="511" t="s">
        <v>206</v>
      </c>
      <c r="S18" s="506"/>
      <c r="U18" s="616"/>
    </row>
    <row r="19" spans="1:21">
      <c r="A19" s="154" t="s">
        <v>862</v>
      </c>
      <c r="B19" s="154"/>
      <c r="C19" s="154"/>
      <c r="D19" s="154"/>
      <c r="E19" s="154"/>
      <c r="F19" s="115"/>
      <c r="G19" s="115"/>
      <c r="H19" s="601">
        <f>H18*H13</f>
        <v>1166.6032240172285</v>
      </c>
      <c r="I19" s="601">
        <f t="shared" ref="I19:J19" si="3">I18*I13</f>
        <v>992.82457028592739</v>
      </c>
      <c r="J19" s="601">
        <f t="shared" si="3"/>
        <v>999.33136440294743</v>
      </c>
      <c r="K19" s="115"/>
      <c r="L19" s="115"/>
      <c r="M19" s="115"/>
      <c r="N19" s="115"/>
      <c r="O19" s="115"/>
      <c r="P19" s="115"/>
      <c r="Q19" s="115"/>
      <c r="R19" s="503" t="s">
        <v>206</v>
      </c>
      <c r="S19" s="506"/>
    </row>
    <row r="20" spans="1:21">
      <c r="A20" s="154" t="s">
        <v>863</v>
      </c>
      <c r="B20" s="154"/>
      <c r="C20" s="154"/>
      <c r="D20" s="154"/>
      <c r="E20" s="154"/>
      <c r="F20" s="115"/>
      <c r="G20" s="115"/>
      <c r="I20" s="154"/>
      <c r="J20" s="115"/>
      <c r="K20" s="115"/>
      <c r="L20" s="115"/>
      <c r="M20" s="115"/>
      <c r="N20" s="115"/>
      <c r="O20" s="115"/>
      <c r="P20" s="115"/>
      <c r="Q20" s="115"/>
      <c r="R20" s="504" t="s">
        <v>206</v>
      </c>
      <c r="S20" s="506"/>
    </row>
    <row r="21" spans="1:21">
      <c r="A21" s="154"/>
      <c r="B21" s="154"/>
      <c r="C21" s="154"/>
      <c r="D21" s="154"/>
      <c r="E21" s="154"/>
      <c r="F21" s="115"/>
      <c r="G21" s="115"/>
      <c r="H21" s="609">
        <f>0.024*(H16-H19)*H10</f>
        <v>266.00406377873634</v>
      </c>
      <c r="I21" s="609">
        <f t="shared" ref="I21:J21" si="4">0.024*(I16-I19)*I10</f>
        <v>345.73014292078216</v>
      </c>
      <c r="J21" s="609">
        <f t="shared" si="4"/>
        <v>275.73501603771939</v>
      </c>
      <c r="K21" s="115"/>
      <c r="L21" s="115"/>
      <c r="M21" s="115"/>
      <c r="N21" s="162" t="s">
        <v>864</v>
      </c>
      <c r="O21" s="432">
        <f>SUM(H21:J21)</f>
        <v>887.46922273723794</v>
      </c>
      <c r="P21" s="115"/>
      <c r="Q21" s="115"/>
      <c r="R21" s="504" t="s">
        <v>206</v>
      </c>
      <c r="S21" s="506"/>
    </row>
    <row r="22" spans="1:21" ht="26">
      <c r="A22" s="115" t="s">
        <v>865</v>
      </c>
      <c r="B22" s="115"/>
      <c r="C22" s="115"/>
      <c r="D22" s="115"/>
      <c r="E22" s="115"/>
      <c r="F22" s="115"/>
      <c r="G22" s="115"/>
      <c r="H22" s="115"/>
      <c r="I22" s="115"/>
      <c r="J22" s="115"/>
      <c r="K22" s="115"/>
      <c r="L22" s="115"/>
      <c r="M22" s="115"/>
      <c r="N22" s="162" t="s">
        <v>866</v>
      </c>
      <c r="O22" s="432">
        <f>H4/tfa</f>
        <v>0</v>
      </c>
      <c r="P22" s="363"/>
      <c r="Q22" s="115"/>
      <c r="R22" s="503" t="s">
        <v>206</v>
      </c>
      <c r="S22" s="506"/>
      <c r="U22" s="616" t="s">
        <v>867</v>
      </c>
    </row>
    <row r="23" spans="1:21" ht="26">
      <c r="A23" s="115" t="s">
        <v>868</v>
      </c>
      <c r="B23" s="115" t="s">
        <v>206</v>
      </c>
      <c r="C23" s="115"/>
      <c r="D23" s="115"/>
      <c r="E23" s="115"/>
      <c r="F23" s="115"/>
      <c r="G23" s="115"/>
      <c r="H23" s="386" t="s">
        <v>206</v>
      </c>
      <c r="I23" s="392"/>
      <c r="J23" s="115"/>
      <c r="K23" s="115"/>
      <c r="L23" s="115"/>
      <c r="M23" s="115"/>
      <c r="N23" s="162" t="s">
        <v>869</v>
      </c>
      <c r="O23" s="444">
        <v>0.25</v>
      </c>
      <c r="P23" s="363"/>
      <c r="Q23" s="115"/>
      <c r="R23" s="503" t="s">
        <v>206</v>
      </c>
      <c r="S23" s="506"/>
      <c r="U23" s="616" t="s">
        <v>870</v>
      </c>
    </row>
    <row r="24" spans="1:21">
      <c r="A24" s="154" t="s">
        <v>871</v>
      </c>
      <c r="B24" s="115"/>
      <c r="C24" s="115"/>
      <c r="D24" s="115"/>
      <c r="E24" s="115"/>
      <c r="F24" s="115"/>
      <c r="G24" s="115"/>
      <c r="H24" s="389" t="s">
        <v>206</v>
      </c>
      <c r="I24" s="392"/>
      <c r="J24" s="115"/>
      <c r="K24" s="115"/>
      <c r="L24" s="115"/>
      <c r="M24" s="115"/>
      <c r="N24" s="162" t="s">
        <v>872</v>
      </c>
      <c r="O24" s="449">
        <f>O21*O22*O23</f>
        <v>0</v>
      </c>
      <c r="P24" s="115" t="s">
        <v>558</v>
      </c>
      <c r="Q24" s="115"/>
      <c r="R24" s="511" t="s">
        <v>206</v>
      </c>
      <c r="S24" s="506"/>
    </row>
    <row r="25" spans="1:21" ht="13">
      <c r="A25" s="154" t="s">
        <v>873</v>
      </c>
      <c r="B25" s="115"/>
      <c r="C25" s="115"/>
      <c r="D25" s="115"/>
      <c r="E25" s="115"/>
      <c r="F25" s="115"/>
      <c r="G25" s="115"/>
      <c r="H25" s="115"/>
      <c r="I25" s="115"/>
      <c r="J25" s="115"/>
      <c r="K25" s="115"/>
      <c r="L25" s="115"/>
      <c r="M25" s="115"/>
      <c r="N25" s="115"/>
      <c r="O25" s="449">
        <f>O24/H6</f>
        <v>0</v>
      </c>
      <c r="P25" s="115" t="s">
        <v>558</v>
      </c>
      <c r="Q25" s="115"/>
      <c r="R25" s="511" t="s">
        <v>206</v>
      </c>
      <c r="S25" s="506"/>
      <c r="U25" s="616"/>
    </row>
    <row r="26" spans="1:21" ht="13">
      <c r="A26" s="115" t="s">
        <v>874</v>
      </c>
      <c r="B26" s="115"/>
      <c r="C26" s="115"/>
      <c r="D26" s="115"/>
      <c r="E26" s="115"/>
      <c r="F26" s="115"/>
      <c r="G26" s="115"/>
      <c r="H26" s="392"/>
      <c r="I26" s="115"/>
      <c r="J26" s="386"/>
      <c r="K26" s="115"/>
      <c r="L26" s="392"/>
      <c r="M26" s="392"/>
      <c r="N26" s="392"/>
      <c r="O26" s="614">
        <f>O25/tfa</f>
        <v>0</v>
      </c>
      <c r="P26" s="115" t="s">
        <v>558</v>
      </c>
      <c r="Q26" s="115"/>
      <c r="R26" s="519" t="s">
        <v>206</v>
      </c>
      <c r="S26" s="506"/>
    </row>
    <row r="27" spans="1:21">
      <c r="K27" s="115"/>
    </row>
    <row r="30" spans="1:21" ht="13">
      <c r="A30" s="3" t="s">
        <v>144</v>
      </c>
    </row>
    <row r="31" spans="1:21">
      <c r="A31" s="115" t="s">
        <v>875</v>
      </c>
      <c r="B31">
        <v>24</v>
      </c>
    </row>
    <row r="38" spans="1:1" ht="13">
      <c r="A38" s="3" t="s">
        <v>876</v>
      </c>
    </row>
    <row r="39" spans="1:1">
      <c r="A39" s="115" t="str">
        <f>Fuel!C4</f>
        <v>mains gas</v>
      </c>
    </row>
    <row r="40" spans="1:1">
      <c r="A40" s="115" t="str">
        <f>Fuel!C5</f>
        <v>bulk LPG (propane or butane)</v>
      </c>
    </row>
    <row r="41" spans="1:1">
      <c r="A41" s="115" t="str">
        <f>Fuel!C6</f>
        <v>bottled LPG</v>
      </c>
    </row>
    <row r="42" spans="1:1">
      <c r="A42" s="115"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topLeftCell="A19" zoomScaleNormal="100" workbookViewId="0">
      <selection activeCell="F63" sqref="F63"/>
    </sheetView>
  </sheetViews>
  <sheetFormatPr defaultColWidth="9.1796875" defaultRowHeight="12.5"/>
  <cols>
    <col min="1" max="1" width="9.1796875" style="7"/>
    <col min="2" max="2" width="21.453125" style="7" customWidth="1"/>
    <col min="3" max="3" width="9.1796875" style="7"/>
    <col min="4" max="4" width="9" style="7" bestFit="1" customWidth="1"/>
    <col min="5" max="5" width="9.1796875" style="7"/>
    <col min="6" max="6" width="15.54296875" style="7" customWidth="1"/>
    <col min="7" max="7" width="13" style="7" customWidth="1"/>
    <col min="8" max="8" width="9.54296875" style="7" customWidth="1"/>
    <col min="9" max="9" width="25.54296875" style="7" customWidth="1"/>
    <col min="10" max="10" width="14.81640625" style="7" customWidth="1"/>
    <col min="11" max="11" width="16.1796875" style="7" customWidth="1"/>
    <col min="12" max="13" width="12.54296875" style="7" customWidth="1"/>
    <col min="14" max="14" width="14.81640625" style="7" customWidth="1"/>
    <col min="15" max="15" width="9.1796875" style="7"/>
    <col min="16" max="16" width="50.54296875" hidden="1" customWidth="1"/>
    <col min="17" max="17" width="18.54296875" customWidth="1"/>
    <col min="32" max="33" width="9.1796875" style="515"/>
    <col min="34" max="34" width="9.1796875" style="510"/>
  </cols>
  <sheetData>
    <row r="1" spans="1:34" s="1" customFormat="1" ht="18" customHeight="1">
      <c r="A1" s="12" t="s">
        <v>877</v>
      </c>
      <c r="B1" s="14"/>
      <c r="C1" s="381"/>
      <c r="D1" s="381"/>
      <c r="E1" s="381"/>
      <c r="F1" s="15"/>
      <c r="G1" s="15"/>
      <c r="H1" s="381"/>
      <c r="I1" s="381"/>
      <c r="J1" s="381"/>
      <c r="K1" s="381"/>
      <c r="L1" s="381"/>
      <c r="M1" s="381"/>
      <c r="N1" s="115" t="s">
        <v>878</v>
      </c>
      <c r="P1" s="615" t="s">
        <v>835</v>
      </c>
      <c r="Q1" s="621"/>
      <c r="AF1" s="503" t="s">
        <v>270</v>
      </c>
      <c r="AG1" s="516"/>
      <c r="AH1" s="516"/>
    </row>
    <row r="2" spans="1:34" ht="13">
      <c r="A2" s="115"/>
      <c r="B2" s="3"/>
      <c r="C2" s="115"/>
      <c r="D2" s="115"/>
      <c r="E2" s="115"/>
      <c r="F2" s="392"/>
      <c r="G2" s="115"/>
      <c r="H2" s="115"/>
      <c r="I2" s="115"/>
      <c r="J2" s="115"/>
      <c r="K2" s="115"/>
      <c r="L2" s="115"/>
      <c r="M2" s="115"/>
      <c r="N2" s="600" t="b">
        <f>IF(OR(I4="Heat Pump",I4="Exhaust Air Heat Pump"),TRUE,FALSE)</f>
        <v>0</v>
      </c>
      <c r="O2" s="115"/>
      <c r="AF2" s="506"/>
      <c r="AG2" s="510"/>
    </row>
    <row r="3" spans="1:34" ht="13">
      <c r="A3" s="30" t="s">
        <v>879</v>
      </c>
      <c r="B3" s="159"/>
      <c r="C3" s="115"/>
      <c r="D3" s="115"/>
      <c r="E3" s="115"/>
      <c r="F3" s="115"/>
      <c r="G3" s="115"/>
      <c r="H3" s="392"/>
      <c r="I3" s="115" t="s">
        <v>880</v>
      </c>
      <c r="J3" s="115"/>
      <c r="K3" s="115"/>
      <c r="L3" s="115" t="s">
        <v>881</v>
      </c>
      <c r="M3" s="115"/>
      <c r="N3" s="115" t="s">
        <v>882</v>
      </c>
      <c r="O3" s="115"/>
      <c r="P3" s="115"/>
      <c r="T3" s="363" t="s">
        <v>206</v>
      </c>
      <c r="AF3" s="506"/>
      <c r="AG3" s="510"/>
    </row>
    <row r="4" spans="1:34">
      <c r="A4" s="159" t="s">
        <v>883</v>
      </c>
      <c r="B4" s="159"/>
      <c r="C4" s="115"/>
      <c r="D4" s="115"/>
      <c r="E4" s="115"/>
      <c r="F4" s="115"/>
      <c r="G4" s="115"/>
      <c r="H4" s="392"/>
      <c r="I4" s="205" t="s">
        <v>884</v>
      </c>
      <c r="J4" s="443">
        <v>91.3</v>
      </c>
      <c r="K4" s="115" t="s">
        <v>885</v>
      </c>
      <c r="L4" s="115">
        <f>IF(I4="Exhaust Air Heat Pump",Vent!G32,0)</f>
        <v>0</v>
      </c>
      <c r="M4" s="115" t="s">
        <v>307</v>
      </c>
      <c r="N4" s="536">
        <f>IFERROR(IF(OR(I4="Heat Pump",I4="Exhaust Air Heat Pump"),HP!B106*HP!B107,"NA")*100,0)</f>
        <v>0</v>
      </c>
      <c r="O4" s="115" t="s">
        <v>885</v>
      </c>
      <c r="P4" s="115"/>
      <c r="T4" s="363" t="s">
        <v>206</v>
      </c>
      <c r="AF4" s="506"/>
      <c r="AG4" s="510"/>
    </row>
    <row r="5" spans="1:34">
      <c r="A5" s="159" t="s">
        <v>886</v>
      </c>
      <c r="B5" s="159"/>
      <c r="C5" s="115"/>
      <c r="D5" s="115"/>
      <c r="E5" s="115"/>
      <c r="F5" s="115"/>
      <c r="G5" s="115"/>
      <c r="H5" s="392"/>
      <c r="I5" s="115" t="str">
        <f>IF(OR(I4="Heat Pump",I4="Exhaust Air Heat Pump"),"Complete tab HP","")</f>
        <v/>
      </c>
      <c r="J5" s="443"/>
      <c r="K5" s="115"/>
      <c r="L5" s="115"/>
      <c r="M5" s="115"/>
      <c r="N5" s="115" t="s">
        <v>887</v>
      </c>
      <c r="O5" s="115"/>
      <c r="P5" s="115"/>
      <c r="AF5" s="506"/>
      <c r="AG5" s="510"/>
    </row>
    <row r="6" spans="1:34">
      <c r="A6" s="159" t="s">
        <v>888</v>
      </c>
      <c r="B6" s="159"/>
      <c r="C6" s="115"/>
      <c r="D6" s="115"/>
      <c r="E6" s="115"/>
      <c r="F6" s="115"/>
      <c r="G6" s="115"/>
      <c r="H6" s="392"/>
      <c r="I6" s="115"/>
      <c r="J6" s="443">
        <v>1</v>
      </c>
      <c r="K6" s="115" t="s">
        <v>889</v>
      </c>
      <c r="L6" s="115"/>
      <c r="M6" s="115"/>
      <c r="N6" s="537">
        <f>MIN(IF(I4="Exhaust Air Heat Pump",HP!B111,1),1)</f>
        <v>1</v>
      </c>
      <c r="O6" s="115" t="s">
        <v>885</v>
      </c>
      <c r="P6" s="115"/>
      <c r="AF6" s="506"/>
      <c r="AG6" s="510"/>
    </row>
    <row r="7" spans="1:34">
      <c r="A7" s="115" t="s">
        <v>890</v>
      </c>
      <c r="B7" s="159"/>
      <c r="C7" s="115"/>
      <c r="D7" s="115"/>
      <c r="E7" s="115"/>
      <c r="F7" s="115"/>
      <c r="G7" s="115"/>
      <c r="H7" s="392"/>
      <c r="I7" s="115"/>
      <c r="J7" s="439">
        <f>IF(OR(I4="Heat Pump",I4="Exhaust Air Heat Pump"),N4,J4*J6)</f>
        <v>91.3</v>
      </c>
      <c r="K7" s="115"/>
      <c r="L7" s="115" t="s">
        <v>206</v>
      </c>
      <c r="M7" s="115"/>
      <c r="N7" s="115" t="s">
        <v>891</v>
      </c>
      <c r="O7" s="115"/>
      <c r="P7" s="115"/>
      <c r="AF7" s="506">
        <v>78</v>
      </c>
      <c r="AG7" s="510"/>
    </row>
    <row r="8" spans="1:34">
      <c r="A8" s="159" t="s">
        <v>892</v>
      </c>
      <c r="B8" s="159"/>
      <c r="C8" s="115"/>
      <c r="D8" s="115"/>
      <c r="E8" s="115"/>
      <c r="F8" s="115"/>
      <c r="G8" s="115"/>
      <c r="H8" s="392"/>
      <c r="I8" s="115"/>
      <c r="J8" s="443"/>
      <c r="K8" s="115"/>
      <c r="L8" s="115"/>
      <c r="M8" s="115"/>
      <c r="N8" s="538">
        <f>IF(I4="Other",0,(1-M21)*F117)</f>
        <v>2821.1538299086405</v>
      </c>
      <c r="O8" s="115" t="s">
        <v>562</v>
      </c>
      <c r="P8" s="115"/>
      <c r="AF8" s="506">
        <v>0.1</v>
      </c>
      <c r="AG8" s="510"/>
    </row>
    <row r="9" spans="1:34">
      <c r="A9" s="159" t="s">
        <v>893</v>
      </c>
      <c r="B9" s="159"/>
      <c r="C9" s="115"/>
      <c r="D9" s="115"/>
      <c r="E9" s="115"/>
      <c r="F9" s="115"/>
      <c r="G9" s="115"/>
      <c r="H9" s="392"/>
      <c r="I9" s="115"/>
      <c r="J9" s="443">
        <v>0</v>
      </c>
      <c r="K9" s="115" t="s">
        <v>885</v>
      </c>
      <c r="L9" s="115"/>
      <c r="M9" s="115"/>
      <c r="N9" s="115"/>
      <c r="O9" s="115"/>
      <c r="P9" s="115"/>
      <c r="AF9" s="506">
        <v>30</v>
      </c>
      <c r="AG9" s="510"/>
    </row>
    <row r="10" spans="1:34" ht="13">
      <c r="A10" s="159" t="s">
        <v>894</v>
      </c>
      <c r="B10" s="159"/>
      <c r="C10" s="115"/>
      <c r="D10" s="115"/>
      <c r="E10" s="115"/>
      <c r="F10" s="115"/>
      <c r="G10" s="115"/>
      <c r="H10" s="392"/>
      <c r="I10" s="115"/>
      <c r="J10" s="61">
        <f>IF(J7=0,0,(1-M21)*F117/(J7/100))</f>
        <v>3089.9822890565615</v>
      </c>
      <c r="K10" s="115"/>
      <c r="L10" s="115"/>
      <c r="M10" s="115"/>
      <c r="N10" s="115"/>
      <c r="O10" s="115"/>
      <c r="P10" s="115"/>
      <c r="AF10" s="531">
        <f>(1-AF8)*SH!P37/(AF7/100)</f>
        <v>7536.0174885386814</v>
      </c>
      <c r="AG10" s="510"/>
    </row>
    <row r="11" spans="1:34" ht="13">
      <c r="A11" s="159" t="s">
        <v>895</v>
      </c>
      <c r="B11" s="159"/>
      <c r="C11" s="115"/>
      <c r="D11" s="115"/>
      <c r="E11" s="115"/>
      <c r="F11" s="115"/>
      <c r="G11" s="115"/>
      <c r="H11" s="392"/>
      <c r="I11" s="115"/>
      <c r="J11" s="61">
        <f>IF(J8=0,0,J8*SH!H14/(J9/100))</f>
        <v>0</v>
      </c>
      <c r="K11" s="392"/>
      <c r="L11" s="115"/>
      <c r="M11" s="115"/>
      <c r="N11" s="115" t="s">
        <v>878</v>
      </c>
      <c r="O11" s="115"/>
      <c r="P11" s="115"/>
      <c r="AF11" s="531">
        <f>AF8*SH!P14/(AF9/100)</f>
        <v>2194.3871113475088</v>
      </c>
      <c r="AG11" s="510"/>
    </row>
    <row r="12" spans="1:34">
      <c r="A12" s="159" t="s">
        <v>896</v>
      </c>
      <c r="B12" s="159"/>
      <c r="C12" s="115"/>
      <c r="D12" s="115"/>
      <c r="E12" s="115"/>
      <c r="F12" s="115"/>
      <c r="G12" s="115"/>
      <c r="H12" s="392"/>
      <c r="I12" s="115"/>
      <c r="J12" s="443"/>
      <c r="K12" s="115"/>
      <c r="L12" s="115"/>
      <c r="M12" s="115"/>
      <c r="N12" s="600" t="b">
        <f>IF(OR(I14="Heat Pump",I14="Exhaust Air Heat Pump"),TRUE,FALSE)</f>
        <v>0</v>
      </c>
      <c r="O12" s="115"/>
      <c r="P12" s="115"/>
      <c r="AF12" s="506"/>
      <c r="AG12" s="510"/>
    </row>
    <row r="13" spans="1:34" ht="13">
      <c r="A13" s="30" t="s">
        <v>516</v>
      </c>
      <c r="B13" s="159"/>
      <c r="C13" s="115"/>
      <c r="D13" s="115"/>
      <c r="E13" s="115"/>
      <c r="F13" s="115"/>
      <c r="G13" s="115"/>
      <c r="H13" s="392"/>
      <c r="I13" s="115"/>
      <c r="J13" s="386"/>
      <c r="K13" s="115"/>
      <c r="L13" s="115" t="s">
        <v>881</v>
      </c>
      <c r="M13" s="115"/>
      <c r="N13" s="115" t="s">
        <v>882</v>
      </c>
      <c r="O13" s="115"/>
      <c r="P13" s="115"/>
      <c r="AF13" s="506"/>
      <c r="AG13" s="510"/>
    </row>
    <row r="14" spans="1:34">
      <c r="A14" s="159" t="s">
        <v>897</v>
      </c>
      <c r="B14" s="159"/>
      <c r="C14" s="115"/>
      <c r="D14" s="115"/>
      <c r="E14" s="115"/>
      <c r="F14" s="115"/>
      <c r="G14" s="115"/>
      <c r="H14" s="392"/>
      <c r="I14" s="205" t="s">
        <v>884</v>
      </c>
      <c r="J14" s="443">
        <v>91.3</v>
      </c>
      <c r="K14" s="115" t="s">
        <v>885</v>
      </c>
      <c r="L14" s="115">
        <f>IF(I14="Exhaust Air Heat Pump",Vent!G32,0)</f>
        <v>0</v>
      </c>
      <c r="M14" s="115" t="s">
        <v>307</v>
      </c>
      <c r="N14" s="536">
        <f>IFERROR(IF(OR(I14="Heat Pump",I14="Exhaust Air Heat Pump"),HP!B108*HP!B109,"NA")*100,0)</f>
        <v>0</v>
      </c>
      <c r="O14" s="115" t="s">
        <v>885</v>
      </c>
      <c r="P14" s="115"/>
      <c r="AF14" s="506"/>
      <c r="AG14" s="510"/>
    </row>
    <row r="15" spans="1:34">
      <c r="A15" s="159" t="s">
        <v>888</v>
      </c>
      <c r="B15" s="159"/>
      <c r="C15" s="115"/>
      <c r="D15" s="115"/>
      <c r="E15" s="115"/>
      <c r="F15" s="448" t="s">
        <v>206</v>
      </c>
      <c r="G15" s="115"/>
      <c r="H15" s="392"/>
      <c r="I15" s="115" t="str">
        <f>IF(OR(I14="Heat Pump",I14="Exhaust Air Heat Pump"),"Complete tab HP","")</f>
        <v/>
      </c>
      <c r="J15" s="443">
        <v>1</v>
      </c>
      <c r="K15" s="115" t="s">
        <v>889</v>
      </c>
      <c r="L15" s="115"/>
      <c r="M15" s="115"/>
      <c r="N15" s="115" t="s">
        <v>887</v>
      </c>
      <c r="O15" s="115"/>
      <c r="P15" s="115"/>
      <c r="AF15" s="506"/>
      <c r="AG15" s="510"/>
    </row>
    <row r="16" spans="1:34">
      <c r="A16" s="115" t="s">
        <v>898</v>
      </c>
      <c r="B16" s="159"/>
      <c r="C16" s="115"/>
      <c r="D16" s="115"/>
      <c r="E16" s="115"/>
      <c r="F16" s="115"/>
      <c r="G16" s="115"/>
      <c r="H16" s="392"/>
      <c r="I16" s="115"/>
      <c r="J16" s="439">
        <f>IF(OR(I14="Heat Pump",I14="Exhaust Air Heat Pump"),N14,J14*J15)</f>
        <v>91.3</v>
      </c>
      <c r="K16" s="115"/>
      <c r="L16" s="115"/>
      <c r="M16" s="115"/>
      <c r="N16" s="537">
        <f>MIN(IF(I14="Exhaust Air Heat Pump",HP!B112,1),1)</f>
        <v>1</v>
      </c>
      <c r="O16" s="115" t="s">
        <v>885</v>
      </c>
      <c r="P16" s="115"/>
      <c r="AF16" s="506">
        <v>78</v>
      </c>
      <c r="AG16" s="510"/>
    </row>
    <row r="17" spans="1:34" ht="13">
      <c r="A17" s="159" t="s">
        <v>899</v>
      </c>
      <c r="B17" s="159"/>
      <c r="C17" s="115"/>
      <c r="D17" s="115"/>
      <c r="E17" s="115"/>
      <c r="F17" s="115"/>
      <c r="G17" s="115"/>
      <c r="H17" s="392"/>
      <c r="I17" s="115"/>
      <c r="J17" s="61">
        <f>IF(J16=0,0,(1-M21)*WhReqt/(J16/100))</f>
        <v>2725.7507665950402</v>
      </c>
      <c r="K17" s="115"/>
      <c r="L17" s="115"/>
      <c r="M17" s="115"/>
      <c r="N17" s="115" t="s">
        <v>900</v>
      </c>
      <c r="O17" s="115"/>
      <c r="P17" s="115"/>
      <c r="AF17" s="519">
        <f>WH!Q100/(AF16/100)</f>
        <v>4747.7855260317174</v>
      </c>
      <c r="AG17" s="510"/>
    </row>
    <row r="18" spans="1:34" ht="13">
      <c r="A18" s="159" t="s">
        <v>901</v>
      </c>
      <c r="B18" s="159"/>
      <c r="C18" s="115"/>
      <c r="D18" s="115"/>
      <c r="E18" s="115"/>
      <c r="F18" s="115"/>
      <c r="G18" s="115"/>
      <c r="H18" s="392"/>
      <c r="I18" s="115"/>
      <c r="J18" s="61">
        <f>WhReqtSup</f>
        <v>0</v>
      </c>
      <c r="K18" s="115"/>
      <c r="L18" s="115"/>
      <c r="M18" s="115"/>
      <c r="N18" s="538">
        <f>IF(I14="Other",0,(1-M21)*WhReqt)</f>
        <v>2488.6104499012713</v>
      </c>
      <c r="O18" s="115" t="s">
        <v>562</v>
      </c>
      <c r="P18" s="115"/>
      <c r="AF18" s="506">
        <v>0</v>
      </c>
      <c r="AG18" s="510"/>
    </row>
    <row r="19" spans="1:34">
      <c r="A19" s="159"/>
      <c r="B19" s="159"/>
      <c r="C19" s="115"/>
      <c r="D19" s="115"/>
      <c r="E19" s="115"/>
      <c r="F19" s="115"/>
      <c r="G19" s="115"/>
      <c r="H19" s="392"/>
      <c r="I19" s="115"/>
      <c r="J19" s="115"/>
      <c r="K19" s="115"/>
      <c r="L19" s="115"/>
      <c r="M19" s="115"/>
      <c r="N19" s="115"/>
      <c r="O19" s="115"/>
      <c r="P19" s="115"/>
      <c r="AF19" s="506"/>
      <c r="AG19" s="506"/>
    </row>
    <row r="20" spans="1:34" ht="13">
      <c r="A20" s="3" t="s">
        <v>902</v>
      </c>
      <c r="B20" s="115"/>
      <c r="C20" s="115"/>
      <c r="D20" s="115"/>
      <c r="E20" s="115"/>
      <c r="F20" s="115"/>
      <c r="G20" s="115"/>
      <c r="H20" s="3" t="s">
        <v>903</v>
      </c>
      <c r="I20" s="115"/>
      <c r="J20" s="115"/>
      <c r="K20" s="115"/>
      <c r="L20" s="115"/>
      <c r="M20" s="115"/>
      <c r="N20" s="115"/>
      <c r="O20" s="115"/>
      <c r="P20" s="115"/>
      <c r="AF20" s="506"/>
      <c r="AG20" s="506"/>
    </row>
    <row r="21" spans="1:34" ht="13">
      <c r="A21" s="3"/>
      <c r="B21" s="115"/>
      <c r="C21" s="115"/>
      <c r="D21" s="115"/>
      <c r="E21" s="386" t="s">
        <v>811</v>
      </c>
      <c r="F21" s="115"/>
      <c r="G21" s="115"/>
      <c r="H21" s="115" t="s">
        <v>904</v>
      </c>
      <c r="I21" s="115"/>
      <c r="J21" s="115"/>
      <c r="K21" s="115"/>
      <c r="L21" s="115"/>
      <c r="M21" s="443">
        <v>0</v>
      </c>
      <c r="N21" s="115"/>
      <c r="O21" s="115"/>
      <c r="P21" s="115"/>
      <c r="AF21" s="506"/>
      <c r="AG21" s="506"/>
    </row>
    <row r="22" spans="1:34">
      <c r="A22" s="115" t="s">
        <v>905</v>
      </c>
      <c r="B22" s="115"/>
      <c r="C22" s="115"/>
      <c r="D22" s="115"/>
      <c r="E22" s="433">
        <f>SH!K25</f>
        <v>97</v>
      </c>
      <c r="F22" s="115"/>
      <c r="G22" s="115"/>
      <c r="H22" s="115" t="s">
        <v>906</v>
      </c>
      <c r="I22" s="115"/>
      <c r="J22" s="115"/>
      <c r="K22" s="115"/>
      <c r="L22" s="115"/>
      <c r="M22" s="449">
        <f>IF(M21&gt;0, M21*(WhReqt+F117),0)</f>
        <v>0</v>
      </c>
      <c r="N22" s="115"/>
      <c r="O22" s="115"/>
      <c r="P22" s="115"/>
      <c r="AF22" s="519">
        <f>SH!P25</f>
        <v>175</v>
      </c>
      <c r="AG22" s="506"/>
    </row>
    <row r="23" spans="1:34">
      <c r="A23" s="159" t="s">
        <v>907</v>
      </c>
      <c r="B23" s="115"/>
      <c r="C23" s="115"/>
      <c r="D23" s="115"/>
      <c r="E23" s="433">
        <f>WH!I92</f>
        <v>0</v>
      </c>
      <c r="F23" s="115"/>
      <c r="G23" s="115"/>
      <c r="H23" s="115"/>
      <c r="I23" s="115"/>
      <c r="J23" s="115"/>
      <c r="K23" s="115"/>
      <c r="L23" s="115"/>
      <c r="M23" s="115"/>
      <c r="N23" s="115"/>
      <c r="O23" s="115"/>
      <c r="P23" s="115"/>
      <c r="AF23" s="506"/>
      <c r="AG23" s="506"/>
    </row>
    <row r="24" spans="1:34">
      <c r="A24" s="159" t="s">
        <v>908</v>
      </c>
      <c r="B24" s="115"/>
      <c r="C24" s="115"/>
      <c r="D24" s="115"/>
      <c r="E24" s="433">
        <f>Vent!G47</f>
        <v>0</v>
      </c>
      <c r="F24" s="115"/>
      <c r="G24" s="115"/>
      <c r="H24" s="115"/>
      <c r="I24" s="115"/>
      <c r="J24" s="115"/>
      <c r="K24" s="115"/>
      <c r="L24" s="115"/>
      <c r="M24" s="115"/>
      <c r="N24" s="115"/>
      <c r="O24" s="115"/>
      <c r="P24" s="115"/>
      <c r="AF24" s="506"/>
      <c r="AG24" s="506"/>
    </row>
    <row r="25" spans="1:34">
      <c r="A25" s="159" t="s">
        <v>909</v>
      </c>
      <c r="B25" s="115"/>
      <c r="C25" s="115"/>
      <c r="D25" s="115"/>
      <c r="E25" s="433">
        <f>WH!G84</f>
        <v>0</v>
      </c>
      <c r="F25" s="115"/>
      <c r="G25" s="115"/>
      <c r="H25" s="115"/>
      <c r="I25" s="115"/>
      <c r="J25" s="115"/>
      <c r="K25" s="115"/>
      <c r="L25" s="115"/>
      <c r="M25" s="115"/>
      <c r="N25" s="115"/>
      <c r="O25" s="115"/>
      <c r="P25" s="115"/>
      <c r="AF25" s="506"/>
      <c r="AG25" s="506"/>
    </row>
    <row r="26" spans="1:34">
      <c r="A26" s="159" t="s">
        <v>910</v>
      </c>
      <c r="B26" s="115"/>
      <c r="C26" s="115"/>
      <c r="D26" s="115"/>
      <c r="E26" s="433">
        <f>WH!F34</f>
        <v>0</v>
      </c>
      <c r="F26" s="115"/>
      <c r="G26" s="115"/>
      <c r="H26" s="115"/>
      <c r="I26" s="115"/>
      <c r="J26" s="115"/>
      <c r="K26" s="115"/>
      <c r="L26" s="115"/>
      <c r="M26" s="115"/>
      <c r="N26" s="115"/>
      <c r="O26" s="115"/>
      <c r="P26" s="115"/>
      <c r="AF26" s="506"/>
      <c r="AG26" s="506"/>
    </row>
    <row r="27" spans="1:34">
      <c r="A27" s="159" t="s">
        <v>864</v>
      </c>
      <c r="B27" s="115"/>
      <c r="C27" s="115"/>
      <c r="D27" s="115"/>
      <c r="E27" s="432">
        <f>SUM(E22:E26)</f>
        <v>97</v>
      </c>
      <c r="F27" s="115"/>
      <c r="G27" s="115"/>
      <c r="H27" s="115"/>
      <c r="I27" s="115"/>
      <c r="J27" s="115"/>
      <c r="K27" s="115"/>
      <c r="L27" s="115"/>
      <c r="M27" s="115"/>
      <c r="N27" s="115"/>
      <c r="O27" s="115"/>
      <c r="P27" s="115"/>
      <c r="AF27" s="506"/>
      <c r="AG27" s="506"/>
    </row>
    <row r="28" spans="1:34">
      <c r="A28" s="115"/>
      <c r="B28" s="159"/>
      <c r="C28" s="115"/>
      <c r="D28" s="115"/>
      <c r="E28" s="115"/>
      <c r="F28" s="115"/>
      <c r="G28" s="115"/>
      <c r="H28" s="115"/>
      <c r="I28" s="115"/>
      <c r="J28" s="115"/>
      <c r="K28" s="115"/>
      <c r="L28" s="115"/>
      <c r="M28" s="115"/>
      <c r="N28" s="115"/>
      <c r="O28" s="115"/>
      <c r="P28" s="115"/>
      <c r="AF28" s="506"/>
      <c r="AG28" s="506"/>
    </row>
    <row r="29" spans="1:34" ht="13">
      <c r="A29" s="3" t="s">
        <v>911</v>
      </c>
      <c r="B29" s="115"/>
      <c r="C29" s="115"/>
      <c r="D29" s="115"/>
      <c r="E29" s="115"/>
      <c r="F29" s="392"/>
      <c r="G29" s="115"/>
      <c r="H29" s="115"/>
      <c r="I29" s="115"/>
      <c r="J29" s="115"/>
      <c r="K29" s="115"/>
      <c r="L29" s="115"/>
      <c r="M29" s="115"/>
      <c r="N29" s="115"/>
      <c r="O29" s="115"/>
      <c r="P29" s="115"/>
      <c r="AF29" s="506"/>
      <c r="AG29" s="506"/>
    </row>
    <row r="30" spans="1:34" ht="46">
      <c r="A30" s="450"/>
      <c r="B30" s="407"/>
      <c r="C30" s="407"/>
      <c r="D30" s="407" t="s">
        <v>187</v>
      </c>
      <c r="E30" s="407"/>
      <c r="F30" s="407"/>
      <c r="G30" s="407"/>
      <c r="H30" s="99" t="s">
        <v>912</v>
      </c>
      <c r="I30" s="100" t="s">
        <v>913</v>
      </c>
      <c r="J30" s="62"/>
      <c r="K30" s="62"/>
      <c r="L30" s="115"/>
      <c r="M30" s="115"/>
      <c r="N30" s="115"/>
      <c r="O30" s="115"/>
      <c r="P30" s="115"/>
      <c r="S30" s="115"/>
      <c r="AF30" s="510"/>
      <c r="AG30" s="506"/>
    </row>
    <row r="31" spans="1:34">
      <c r="A31" s="167"/>
      <c r="B31" s="115"/>
      <c r="C31" s="115"/>
      <c r="D31" s="115"/>
      <c r="E31" s="115"/>
      <c r="F31" s="115"/>
      <c r="G31" s="115"/>
      <c r="H31" s="386" t="s">
        <v>776</v>
      </c>
      <c r="I31" s="451" t="s">
        <v>914</v>
      </c>
      <c r="J31" s="115"/>
      <c r="K31" s="115"/>
      <c r="L31" s="115"/>
      <c r="M31" s="115"/>
      <c r="N31" s="115"/>
      <c r="O31" s="115"/>
      <c r="P31" s="115"/>
      <c r="S31" s="115"/>
      <c r="AF31" s="510" t="s">
        <v>915</v>
      </c>
      <c r="AG31" s="506" t="s">
        <v>916</v>
      </c>
    </row>
    <row r="32" spans="1:34">
      <c r="A32" s="167" t="s">
        <v>917</v>
      </c>
      <c r="B32" s="392"/>
      <c r="C32" s="115"/>
      <c r="D32" s="701" t="s">
        <v>918</v>
      </c>
      <c r="E32" s="701"/>
      <c r="F32" s="701"/>
      <c r="G32" s="701"/>
      <c r="H32" s="389">
        <f>VLOOKUP($D32,fueldata,5,FALSE)</f>
        <v>1.1000000000000001</v>
      </c>
      <c r="I32" s="452">
        <f>VLOOKUP($D32,fueldata,6,FALSE)</f>
        <v>0.20300000000000001</v>
      </c>
      <c r="J32" s="115"/>
      <c r="K32" s="115"/>
      <c r="L32" s="115"/>
      <c r="M32" s="115"/>
      <c r="N32" s="115"/>
      <c r="O32" s="115"/>
      <c r="P32" s="115"/>
      <c r="S32" s="115"/>
      <c r="AF32" s="506">
        <f>Fuel!G4</f>
        <v>1.1000000000000001</v>
      </c>
      <c r="AG32" s="506">
        <f>Fuel!H4</f>
        <v>0.20300000000000001</v>
      </c>
      <c r="AH32" s="511"/>
    </row>
    <row r="33" spans="1:34">
      <c r="A33" s="167" t="s">
        <v>919</v>
      </c>
      <c r="B33" s="115"/>
      <c r="C33" s="115"/>
      <c r="D33" s="701" t="s">
        <v>250</v>
      </c>
      <c r="E33" s="701"/>
      <c r="F33" s="701"/>
      <c r="G33" s="701"/>
      <c r="H33" s="389">
        <f>VLOOKUP($D33,fueldata,5,FALSE)</f>
        <v>0</v>
      </c>
      <c r="I33" s="452">
        <f>VLOOKUP($D33,fueldata,6,FALSE)</f>
        <v>0</v>
      </c>
      <c r="J33" s="115"/>
      <c r="K33" s="115"/>
      <c r="L33" s="115"/>
      <c r="M33" s="115"/>
      <c r="N33" s="115"/>
      <c r="O33" s="115"/>
      <c r="P33" s="115"/>
      <c r="S33" s="411"/>
      <c r="AF33" s="506">
        <f>Fuel!G17</f>
        <v>1.1000000000000001</v>
      </c>
      <c r="AG33" s="532">
        <f>Fuel!H17</f>
        <v>0.36899999999999999</v>
      </c>
      <c r="AH33" s="511"/>
    </row>
    <row r="34" spans="1:34">
      <c r="A34" s="167" t="s">
        <v>920</v>
      </c>
      <c r="B34" s="115"/>
      <c r="C34" s="448">
        <f>('ER1'!G64+'ER1'!G66+'ER1'!G68)-('ER1'!G63+'ER1'!G65+'ER1'!G67)</f>
        <v>0</v>
      </c>
      <c r="D34" s="701" t="s">
        <v>918</v>
      </c>
      <c r="E34" s="701"/>
      <c r="F34" s="701"/>
      <c r="G34" s="701"/>
      <c r="H34" s="389">
        <f>VLOOKUP($D34,fueldata,5,FALSE)</f>
        <v>1.1000000000000001</v>
      </c>
      <c r="I34" s="452">
        <f>VLOOKUP($D34,fueldata,6,FALSE)</f>
        <v>0.20300000000000001</v>
      </c>
      <c r="J34" s="115"/>
      <c r="K34" s="115"/>
      <c r="L34" s="115"/>
      <c r="M34" s="115"/>
      <c r="N34" s="115"/>
      <c r="O34" s="115"/>
      <c r="P34" s="115"/>
      <c r="S34" s="115"/>
      <c r="AF34" s="506">
        <f>AF32</f>
        <v>1.1000000000000001</v>
      </c>
      <c r="AG34" s="506">
        <f>AG32</f>
        <v>0.20300000000000001</v>
      </c>
      <c r="AH34" s="511"/>
    </row>
    <row r="35" spans="1:34">
      <c r="A35" s="167" t="s">
        <v>921</v>
      </c>
      <c r="B35" s="115"/>
      <c r="C35" s="115"/>
      <c r="D35" s="449" t="str">
        <f>IF(WH!H94 = "Yes",Fuel!C18,"-")</f>
        <v>-</v>
      </c>
      <c r="E35" s="115"/>
      <c r="F35" s="115"/>
      <c r="G35" s="115"/>
      <c r="H35" s="389">
        <f>VLOOKUP($D35,fueldata,5,FALSE)</f>
        <v>0</v>
      </c>
      <c r="I35" s="452">
        <f>VLOOKUP($D35,fueldata,6,FALSE)</f>
        <v>0</v>
      </c>
      <c r="J35" s="115"/>
      <c r="K35" s="115"/>
      <c r="L35" s="115"/>
      <c r="M35" s="115"/>
      <c r="N35" s="115"/>
      <c r="O35" s="115"/>
      <c r="P35" s="115"/>
      <c r="S35" s="115"/>
      <c r="AF35" s="506">
        <v>0</v>
      </c>
      <c r="AG35" s="506">
        <v>0</v>
      </c>
      <c r="AH35" s="511"/>
    </row>
    <row r="36" spans="1:34" ht="26.25" customHeight="1">
      <c r="A36" s="167" t="s">
        <v>28</v>
      </c>
      <c r="B36" s="115"/>
      <c r="C36" s="115"/>
      <c r="D36" s="449" t="str">
        <f>Cooling!H7</f>
        <v>electricity</v>
      </c>
      <c r="E36" s="449"/>
      <c r="F36" s="449"/>
      <c r="G36" s="449"/>
      <c r="H36" s="389">
        <f>VLOOKUP($D36,fueldata,5,FALSE)</f>
        <v>1.75</v>
      </c>
      <c r="I36" s="452">
        <f>VLOOKUP($D36,fueldata,6,FALSE)</f>
        <v>0.224</v>
      </c>
      <c r="J36" s="115"/>
      <c r="K36" s="115"/>
      <c r="L36" s="115"/>
      <c r="M36" s="115"/>
      <c r="N36" s="115"/>
      <c r="O36" s="115"/>
      <c r="P36" s="620" t="s">
        <v>922</v>
      </c>
      <c r="Q36" s="619"/>
      <c r="S36" s="115"/>
      <c r="AF36" s="506"/>
      <c r="AG36" s="506"/>
      <c r="AH36" s="511"/>
    </row>
    <row r="37" spans="1:34">
      <c r="A37" s="167" t="s">
        <v>923</v>
      </c>
      <c r="B37" s="115"/>
      <c r="C37" s="115"/>
      <c r="D37" s="115"/>
      <c r="E37" s="115"/>
      <c r="F37" s="115"/>
      <c r="G37" s="115"/>
      <c r="H37" s="453">
        <f>Fuel!G18</f>
        <v>1.75</v>
      </c>
      <c r="I37" s="454">
        <f>Fuel!H18</f>
        <v>0.224</v>
      </c>
      <c r="J37" s="455"/>
      <c r="K37" s="456"/>
      <c r="L37" s="191"/>
      <c r="M37" s="191"/>
      <c r="N37" s="191"/>
      <c r="O37" s="115"/>
      <c r="P37" s="115"/>
      <c r="S37" s="411"/>
      <c r="AF37" s="506">
        <f>H37</f>
        <v>1.75</v>
      </c>
      <c r="AG37" s="532">
        <f>I37</f>
        <v>0.224</v>
      </c>
      <c r="AH37" s="511"/>
    </row>
    <row r="38" spans="1:34">
      <c r="A38" s="415" t="s">
        <v>924</v>
      </c>
      <c r="B38" s="416"/>
      <c r="C38" s="416"/>
      <c r="D38" s="416"/>
      <c r="E38" s="416"/>
      <c r="F38" s="416"/>
      <c r="G38" s="416"/>
      <c r="H38" s="457">
        <f>H37</f>
        <v>1.75</v>
      </c>
      <c r="I38" s="458">
        <f>I37</f>
        <v>0.224</v>
      </c>
      <c r="J38" s="455"/>
      <c r="K38" s="456"/>
      <c r="L38" s="191"/>
      <c r="M38" s="191"/>
      <c r="N38" s="191"/>
      <c r="O38" s="115"/>
      <c r="P38" s="115"/>
      <c r="S38" s="411"/>
      <c r="AF38" s="506">
        <f>H38</f>
        <v>1.75</v>
      </c>
      <c r="AG38" s="532">
        <f>I38</f>
        <v>0.224</v>
      </c>
      <c r="AH38" s="511"/>
    </row>
    <row r="39" spans="1:34" ht="13">
      <c r="A39" s="18" t="s">
        <v>925</v>
      </c>
      <c r="B39" s="407"/>
      <c r="C39" s="407"/>
      <c r="D39" s="407"/>
      <c r="E39" s="407"/>
      <c r="F39" s="407"/>
      <c r="G39" s="407"/>
      <c r="H39" s="459"/>
      <c r="I39" s="459"/>
      <c r="J39" s="18" t="s">
        <v>926</v>
      </c>
      <c r="K39" s="407"/>
      <c r="L39" s="407"/>
      <c r="M39" s="407"/>
      <c r="N39" s="407"/>
      <c r="O39" s="408"/>
      <c r="P39" s="115"/>
      <c r="AF39" s="506"/>
      <c r="AG39" s="510"/>
    </row>
    <row r="40" spans="1:34">
      <c r="A40" s="167" t="s">
        <v>927</v>
      </c>
      <c r="B40" s="115" t="s">
        <v>16</v>
      </c>
      <c r="C40" s="115"/>
      <c r="D40" s="701" t="s">
        <v>206</v>
      </c>
      <c r="E40" s="689"/>
      <c r="F40" s="689"/>
      <c r="G40" s="689"/>
      <c r="H40" s="389"/>
      <c r="I40" s="389"/>
      <c r="J40" s="460" t="s">
        <v>906</v>
      </c>
      <c r="K40" s="191"/>
      <c r="L40" s="191"/>
      <c r="M40" s="191"/>
      <c r="N40" s="461">
        <f>M22</f>
        <v>0</v>
      </c>
      <c r="O40" s="409"/>
      <c r="P40" s="115"/>
      <c r="AF40" s="506"/>
      <c r="AG40" s="510"/>
    </row>
    <row r="41" spans="1:34">
      <c r="A41" s="167"/>
      <c r="B41" s="115" t="s">
        <v>928</v>
      </c>
      <c r="C41" s="115"/>
      <c r="D41" s="115"/>
      <c r="E41" s="115"/>
      <c r="F41" s="115"/>
      <c r="G41" s="115"/>
      <c r="H41" s="443">
        <f>Fuel!G28</f>
        <v>1.75</v>
      </c>
      <c r="I41" s="443">
        <f>Fuel!H28</f>
        <v>0.224</v>
      </c>
      <c r="J41" s="462" t="s">
        <v>929</v>
      </c>
      <c r="K41" s="191"/>
      <c r="L41" s="191"/>
      <c r="M41" s="191"/>
      <c r="N41" s="463">
        <v>0.3</v>
      </c>
      <c r="O41" s="409"/>
      <c r="P41" s="115"/>
      <c r="AF41" s="506"/>
      <c r="AG41" s="510"/>
    </row>
    <row r="42" spans="1:34">
      <c r="A42" s="167"/>
      <c r="B42" s="115" t="s">
        <v>930</v>
      </c>
      <c r="C42" s="115"/>
      <c r="D42" s="115"/>
      <c r="E42" s="115"/>
      <c r="F42" s="115"/>
      <c r="G42" s="115"/>
      <c r="H42" s="443"/>
      <c r="I42" s="443"/>
      <c r="J42" s="462" t="s">
        <v>931</v>
      </c>
      <c r="K42" s="191"/>
      <c r="L42" s="191"/>
      <c r="M42" s="191"/>
      <c r="N42" s="463">
        <v>0.5</v>
      </c>
      <c r="O42" s="409"/>
      <c r="P42" s="115"/>
      <c r="AF42" s="506"/>
      <c r="AG42" s="510"/>
    </row>
    <row r="43" spans="1:34">
      <c r="A43" s="167" t="s">
        <v>932</v>
      </c>
      <c r="B43" s="115" t="s">
        <v>16</v>
      </c>
      <c r="C43" s="115"/>
      <c r="D43" s="701"/>
      <c r="E43" s="689"/>
      <c r="F43" s="689"/>
      <c r="G43" s="689"/>
      <c r="H43" s="386"/>
      <c r="I43" s="386"/>
      <c r="J43" s="464" t="s">
        <v>933</v>
      </c>
      <c r="K43" s="456"/>
      <c r="L43" s="701" t="s">
        <v>918</v>
      </c>
      <c r="M43" s="701"/>
      <c r="N43" s="701"/>
      <c r="O43" s="705"/>
      <c r="P43" s="115"/>
      <c r="AF43" s="506"/>
      <c r="AG43" s="510"/>
    </row>
    <row r="44" spans="1:34">
      <c r="A44" s="167"/>
      <c r="B44" s="115" t="s">
        <v>928</v>
      </c>
      <c r="C44" s="115"/>
      <c r="D44" s="115"/>
      <c r="E44" s="115"/>
      <c r="F44" s="115"/>
      <c r="G44" s="115"/>
      <c r="H44" s="443"/>
      <c r="I44" s="443"/>
      <c r="J44" s="167" t="s">
        <v>934</v>
      </c>
      <c r="K44" s="191"/>
      <c r="L44" s="191"/>
      <c r="M44" s="191"/>
      <c r="N44" s="389">
        <f>VLOOKUP($L43,fueldata,5,FALSE)</f>
        <v>1.1000000000000001</v>
      </c>
      <c r="O44" s="409"/>
      <c r="P44" s="115"/>
      <c r="AF44" s="506"/>
      <c r="AG44" s="510"/>
    </row>
    <row r="45" spans="1:34">
      <c r="A45" s="167"/>
      <c r="B45" s="115" t="s">
        <v>930</v>
      </c>
      <c r="C45" s="115"/>
      <c r="D45" s="115"/>
      <c r="E45" s="115"/>
      <c r="F45" s="115"/>
      <c r="G45" s="115"/>
      <c r="H45" s="443"/>
      <c r="I45" s="443"/>
      <c r="J45" s="167" t="s">
        <v>935</v>
      </c>
      <c r="K45" s="191"/>
      <c r="L45" s="191"/>
      <c r="M45" s="191"/>
      <c r="N45" s="465">
        <f>VLOOKUP($L43,fueldata,6,FALSE)</f>
        <v>0.20300000000000001</v>
      </c>
      <c r="O45" s="409"/>
      <c r="P45" s="115"/>
      <c r="AF45" s="506"/>
      <c r="AG45" s="510"/>
    </row>
    <row r="46" spans="1:34">
      <c r="A46" s="167" t="s">
        <v>936</v>
      </c>
      <c r="B46" s="115" t="s">
        <v>16</v>
      </c>
      <c r="C46" s="115"/>
      <c r="D46" s="701"/>
      <c r="E46" s="689"/>
      <c r="F46" s="689"/>
      <c r="G46" s="689"/>
      <c r="H46" s="386"/>
      <c r="I46" s="386"/>
      <c r="J46" s="167" t="s">
        <v>937</v>
      </c>
      <c r="K46" s="191"/>
      <c r="L46" s="191"/>
      <c r="M46" s="191"/>
      <c r="N46" s="461">
        <f>IF(N42=0,0,N40/N42)</f>
        <v>0</v>
      </c>
      <c r="O46" s="409"/>
      <c r="P46" s="115"/>
      <c r="AF46" s="506"/>
      <c r="AG46" s="510"/>
    </row>
    <row r="47" spans="1:34">
      <c r="A47" s="167"/>
      <c r="B47" s="115" t="s">
        <v>928</v>
      </c>
      <c r="C47" s="115"/>
      <c r="D47" s="115"/>
      <c r="E47" s="115"/>
      <c r="F47" s="115"/>
      <c r="G47" s="115"/>
      <c r="H47" s="443"/>
      <c r="I47" s="443"/>
      <c r="J47" s="415" t="s">
        <v>938</v>
      </c>
      <c r="K47" s="466"/>
      <c r="L47" s="466"/>
      <c r="M47" s="466"/>
      <c r="N47" s="467">
        <f>N46*N41</f>
        <v>0</v>
      </c>
      <c r="O47" s="417"/>
      <c r="P47" s="115"/>
      <c r="AF47" s="506"/>
      <c r="AG47" s="510"/>
    </row>
    <row r="48" spans="1:34">
      <c r="A48" s="415"/>
      <c r="B48" s="416" t="s">
        <v>930</v>
      </c>
      <c r="C48" s="416"/>
      <c r="D48" s="416"/>
      <c r="E48" s="416"/>
      <c r="F48" s="416"/>
      <c r="G48" s="416"/>
      <c r="H48" s="468"/>
      <c r="I48" s="469"/>
      <c r="J48" s="115"/>
      <c r="K48" s="191"/>
      <c r="L48" s="191"/>
      <c r="M48" s="191"/>
      <c r="N48" s="191"/>
      <c r="O48" s="115"/>
      <c r="P48" s="115"/>
      <c r="AF48" s="506"/>
      <c r="AG48" s="510"/>
    </row>
    <row r="49" spans="1:34">
      <c r="A49" s="115"/>
      <c r="B49" s="115"/>
      <c r="C49" s="115"/>
      <c r="D49" s="115"/>
      <c r="E49" s="115"/>
      <c r="F49" s="392"/>
      <c r="G49" s="115"/>
      <c r="H49" s="115"/>
      <c r="I49" s="115"/>
      <c r="J49" s="115"/>
      <c r="K49" s="115"/>
      <c r="L49" s="115"/>
      <c r="M49" s="115"/>
      <c r="N49" s="115"/>
      <c r="O49" s="115"/>
      <c r="P49" s="115"/>
      <c r="AF49" s="506"/>
      <c r="AG49" s="510"/>
    </row>
    <row r="50" spans="1:34" ht="13">
      <c r="A50" s="3" t="s">
        <v>939</v>
      </c>
      <c r="B50" s="115"/>
      <c r="C50" s="115"/>
      <c r="D50" s="115"/>
      <c r="E50" s="115"/>
      <c r="F50" s="392"/>
      <c r="G50" s="115"/>
      <c r="H50" s="115"/>
      <c r="I50" s="115"/>
      <c r="J50" s="115"/>
      <c r="K50" s="115"/>
      <c r="L50" s="115"/>
      <c r="M50" s="115"/>
      <c r="N50" s="115"/>
      <c r="O50" s="115"/>
      <c r="P50" s="115"/>
      <c r="AF50" s="506"/>
      <c r="AG50" s="510"/>
    </row>
    <row r="51" spans="1:34" ht="28.5" customHeight="1">
      <c r="A51" s="115"/>
      <c r="B51" s="115"/>
      <c r="C51" s="115"/>
      <c r="D51" s="115"/>
      <c r="E51" s="115"/>
      <c r="F51" s="62" t="s">
        <v>940</v>
      </c>
      <c r="G51" s="62" t="s">
        <v>941</v>
      </c>
      <c r="H51" s="62" t="s">
        <v>942</v>
      </c>
      <c r="I51" s="115"/>
      <c r="J51" s="62"/>
      <c r="K51" s="62" t="s">
        <v>206</v>
      </c>
      <c r="L51" s="115"/>
      <c r="M51" s="115"/>
      <c r="N51" s="115"/>
      <c r="O51" s="115"/>
      <c r="P51" s="115"/>
      <c r="AF51" s="506"/>
      <c r="AG51" s="510"/>
    </row>
    <row r="52" spans="1:34">
      <c r="A52" s="115"/>
      <c r="B52" s="115"/>
      <c r="C52" s="115"/>
      <c r="D52" s="115"/>
      <c r="E52" s="115"/>
      <c r="F52" s="386" t="s">
        <v>811</v>
      </c>
      <c r="G52" s="386" t="s">
        <v>811</v>
      </c>
      <c r="H52" s="386" t="s">
        <v>943</v>
      </c>
      <c r="I52" s="115"/>
      <c r="J52" s="115"/>
      <c r="K52" s="115"/>
      <c r="L52" s="115"/>
      <c r="M52" s="115"/>
      <c r="N52" s="115"/>
      <c r="O52" s="115"/>
      <c r="P52" s="115"/>
      <c r="S52" s="115"/>
      <c r="AF52" s="506" t="s">
        <v>944</v>
      </c>
      <c r="AG52" s="506" t="s">
        <v>945</v>
      </c>
      <c r="AH52" s="506" t="s">
        <v>946</v>
      </c>
    </row>
    <row r="53" spans="1:34">
      <c r="A53" s="115" t="s">
        <v>917</v>
      </c>
      <c r="B53" s="115"/>
      <c r="C53" s="115"/>
      <c r="D53" s="115"/>
      <c r="E53" s="115"/>
      <c r="F53" s="470">
        <f>J10</f>
        <v>3089.9822890565615</v>
      </c>
      <c r="G53" s="470">
        <f t="shared" ref="G53:G59" si="0">F53*H32</f>
        <v>3398.9805179622181</v>
      </c>
      <c r="H53" s="432">
        <f t="shared" ref="H53:H59" si="1">F53*I32</f>
        <v>627.26640467848199</v>
      </c>
      <c r="I53" s="115"/>
      <c r="J53" s="114"/>
      <c r="K53" s="114" t="s">
        <v>206</v>
      </c>
      <c r="L53" s="115"/>
      <c r="M53" s="115"/>
      <c r="N53" s="115"/>
      <c r="O53" s="115"/>
      <c r="P53" s="115"/>
      <c r="S53" s="4"/>
      <c r="AF53" s="533">
        <f>AF10</f>
        <v>7536.0174885386814</v>
      </c>
      <c r="AG53" s="522">
        <f t="shared" ref="AG53:AH56" si="2">$AF53*AF32</f>
        <v>8289.6192373925496</v>
      </c>
      <c r="AH53" s="522">
        <f t="shared" si="2"/>
        <v>1529.8115501733523</v>
      </c>
    </row>
    <row r="54" spans="1:34">
      <c r="A54" s="115" t="s">
        <v>919</v>
      </c>
      <c r="B54" s="115"/>
      <c r="C54" s="115"/>
      <c r="D54" s="115"/>
      <c r="E54" s="115"/>
      <c r="F54" s="470">
        <f>J11</f>
        <v>0</v>
      </c>
      <c r="G54" s="470">
        <f t="shared" si="0"/>
        <v>0</v>
      </c>
      <c r="H54" s="432">
        <f t="shared" si="1"/>
        <v>0</v>
      </c>
      <c r="I54" s="115"/>
      <c r="J54" s="114"/>
      <c r="K54" s="115"/>
      <c r="L54" s="115"/>
      <c r="M54" s="115"/>
      <c r="N54" s="115"/>
      <c r="O54" s="115"/>
      <c r="P54" s="115"/>
      <c r="S54" s="4"/>
      <c r="AF54" s="533">
        <f>AF11</f>
        <v>2194.3871113475088</v>
      </c>
      <c r="AG54" s="522">
        <f t="shared" si="2"/>
        <v>2413.8258224822598</v>
      </c>
      <c r="AH54" s="522">
        <f t="shared" si="2"/>
        <v>809.72884408723075</v>
      </c>
    </row>
    <row r="55" spans="1:34">
      <c r="A55" s="115" t="s">
        <v>920</v>
      </c>
      <c r="B55" s="115"/>
      <c r="C55" s="115"/>
      <c r="D55" s="115"/>
      <c r="E55" s="115"/>
      <c r="F55" s="470">
        <f>J17</f>
        <v>2725.7507665950402</v>
      </c>
      <c r="G55" s="470">
        <f t="shared" si="0"/>
        <v>2998.3258432545445</v>
      </c>
      <c r="H55" s="432">
        <f t="shared" si="1"/>
        <v>553.32740561879325</v>
      </c>
      <c r="I55" s="115"/>
      <c r="J55" s="114"/>
      <c r="K55" s="115"/>
      <c r="L55" s="115"/>
      <c r="M55" s="115"/>
      <c r="N55" s="115"/>
      <c r="O55" s="115"/>
      <c r="P55" s="115"/>
      <c r="S55" s="4"/>
      <c r="AF55" s="533">
        <f>AF17</f>
        <v>4747.7855260317174</v>
      </c>
      <c r="AG55" s="522">
        <f t="shared" si="2"/>
        <v>5222.5640786348895</v>
      </c>
      <c r="AH55" s="522">
        <f t="shared" si="2"/>
        <v>963.80046178443865</v>
      </c>
    </row>
    <row r="56" spans="1:34">
      <c r="A56" s="115" t="s">
        <v>921</v>
      </c>
      <c r="B56" s="115"/>
      <c r="C56" s="115"/>
      <c r="D56" s="115"/>
      <c r="E56" s="115"/>
      <c r="F56" s="470">
        <f>J18</f>
        <v>0</v>
      </c>
      <c r="G56" s="470">
        <f t="shared" si="0"/>
        <v>0</v>
      </c>
      <c r="H56" s="432">
        <f t="shared" si="1"/>
        <v>0</v>
      </c>
      <c r="I56" s="115"/>
      <c r="J56" s="114"/>
      <c r="K56" s="115"/>
      <c r="L56" s="115"/>
      <c r="M56" s="115"/>
      <c r="N56" s="115"/>
      <c r="O56" s="115"/>
      <c r="P56" s="115"/>
      <c r="S56" s="4"/>
      <c r="AF56" s="533">
        <v>0</v>
      </c>
      <c r="AG56" s="522">
        <f t="shared" si="2"/>
        <v>0</v>
      </c>
      <c r="AH56" s="522">
        <f t="shared" si="2"/>
        <v>0</v>
      </c>
    </row>
    <row r="57" spans="1:34" ht="14.5">
      <c r="A57" s="115" t="s">
        <v>28</v>
      </c>
      <c r="B57" s="115"/>
      <c r="C57" s="115"/>
      <c r="D57" s="115"/>
      <c r="E57" s="115"/>
      <c r="F57" s="470">
        <f>Cooling!O25</f>
        <v>0</v>
      </c>
      <c r="G57" s="470">
        <f>F57*H36</f>
        <v>0</v>
      </c>
      <c r="H57" s="432">
        <f>F57*I36</f>
        <v>0</v>
      </c>
      <c r="I57" s="115"/>
      <c r="J57" s="114"/>
      <c r="K57" s="115"/>
      <c r="L57" s="115"/>
      <c r="M57" s="115"/>
      <c r="N57" s="115"/>
      <c r="O57" s="115"/>
      <c r="P57" s="620" t="s">
        <v>947</v>
      </c>
      <c r="Q57" s="619"/>
      <c r="S57" s="4"/>
      <c r="AF57" s="533"/>
      <c r="AG57" s="522"/>
      <c r="AH57" s="522"/>
    </row>
    <row r="58" spans="1:34">
      <c r="A58" s="115" t="s">
        <v>948</v>
      </c>
      <c r="B58" s="115"/>
      <c r="C58" s="115"/>
      <c r="D58" s="115"/>
      <c r="E58" s="115"/>
      <c r="F58" s="470">
        <f>E27</f>
        <v>97</v>
      </c>
      <c r="G58" s="470">
        <f t="shared" si="0"/>
        <v>169.75</v>
      </c>
      <c r="H58" s="432">
        <f t="shared" si="1"/>
        <v>21.728000000000002</v>
      </c>
      <c r="I58" s="115"/>
      <c r="J58" s="114"/>
      <c r="K58" s="115"/>
      <c r="L58" s="115"/>
      <c r="M58" s="115"/>
      <c r="N58" s="115"/>
      <c r="O58" s="115"/>
      <c r="P58" s="115"/>
      <c r="S58" s="4"/>
      <c r="AF58" s="533">
        <f>AF22</f>
        <v>175</v>
      </c>
      <c r="AG58" s="522">
        <f>$AF58*AF37</f>
        <v>306.25</v>
      </c>
      <c r="AH58" s="522">
        <f>$AF58*AG37</f>
        <v>39.200000000000003</v>
      </c>
    </row>
    <row r="59" spans="1:34">
      <c r="A59" s="115" t="s">
        <v>924</v>
      </c>
      <c r="B59" s="115"/>
      <c r="C59" s="115"/>
      <c r="D59" s="115"/>
      <c r="E59" s="115"/>
      <c r="F59" s="470">
        <f>Light!G56</f>
        <v>246.51445106940128</v>
      </c>
      <c r="G59" s="470">
        <f t="shared" si="0"/>
        <v>431.40028937145223</v>
      </c>
      <c r="H59" s="432">
        <f t="shared" si="1"/>
        <v>55.219237039545888</v>
      </c>
      <c r="I59" s="115"/>
      <c r="J59" s="114"/>
      <c r="K59" s="115"/>
      <c r="L59" s="115"/>
      <c r="M59" s="115"/>
      <c r="N59" s="115"/>
      <c r="O59" s="115"/>
      <c r="P59" s="115"/>
      <c r="S59" s="4"/>
      <c r="AF59" s="533">
        <f>Light!L56</f>
        <v>923.43580578167837</v>
      </c>
      <c r="AG59" s="522">
        <f>$AF59*AF38</f>
        <v>1616.0126601179372</v>
      </c>
      <c r="AH59" s="522">
        <f>$AF59*AG38</f>
        <v>206.84962049509596</v>
      </c>
    </row>
    <row r="60" spans="1:34">
      <c r="A60" s="115" t="s">
        <v>949</v>
      </c>
      <c r="B60" s="115"/>
      <c r="C60" s="115"/>
      <c r="D60" s="115"/>
      <c r="E60" s="115"/>
      <c r="F60" s="470">
        <f>N46</f>
        <v>0</v>
      </c>
      <c r="G60" s="470">
        <f>F60*N44</f>
        <v>0</v>
      </c>
      <c r="H60" s="432">
        <f>F60*N45</f>
        <v>0</v>
      </c>
      <c r="I60" s="115"/>
      <c r="J60" s="114"/>
      <c r="K60" s="115"/>
      <c r="L60" s="115"/>
      <c r="M60" s="115"/>
      <c r="N60" s="115"/>
      <c r="O60" s="115"/>
      <c r="P60" s="115"/>
      <c r="AF60" s="533"/>
      <c r="AG60" s="506"/>
    </row>
    <row r="61" spans="1:34">
      <c r="A61" s="115" t="s">
        <v>950</v>
      </c>
      <c r="B61" s="115"/>
      <c r="C61" s="115"/>
      <c r="D61" s="115"/>
      <c r="E61" s="115"/>
      <c r="F61" s="470">
        <f>N47</f>
        <v>0</v>
      </c>
      <c r="G61" s="470">
        <f>F61*Fuel!G19</f>
        <v>0</v>
      </c>
      <c r="H61" s="470">
        <f>F61*Fuel!H19</f>
        <v>0</v>
      </c>
      <c r="I61" s="115"/>
      <c r="J61" s="114"/>
      <c r="K61" s="115"/>
      <c r="L61" s="115"/>
      <c r="M61" s="115"/>
      <c r="N61" s="115"/>
      <c r="O61" s="115"/>
      <c r="P61" s="115"/>
      <c r="S61" s="448"/>
      <c r="AF61" s="510" t="s">
        <v>864</v>
      </c>
      <c r="AG61" s="533">
        <f>SUM(AG53:AG59)</f>
        <v>17848.271798627637</v>
      </c>
      <c r="AH61" s="533">
        <f>SUM(AH53:AH59)</f>
        <v>3549.3904765401176</v>
      </c>
    </row>
    <row r="62" spans="1:34">
      <c r="A62" s="115" t="s">
        <v>951</v>
      </c>
      <c r="B62" s="115"/>
      <c r="C62" s="115"/>
      <c r="D62" s="115"/>
      <c r="E62" s="115"/>
      <c r="F62" s="471">
        <v>1477</v>
      </c>
      <c r="G62" s="470">
        <f>F62*H38</f>
        <v>2584.75</v>
      </c>
      <c r="H62" s="432">
        <f>F62*I38</f>
        <v>330.84800000000001</v>
      </c>
      <c r="I62" s="115"/>
      <c r="J62" s="114" t="s">
        <v>206</v>
      </c>
      <c r="K62" s="115"/>
      <c r="L62" s="115"/>
      <c r="M62" s="115"/>
      <c r="N62" s="115"/>
      <c r="O62" s="115"/>
      <c r="P62" s="115"/>
      <c r="S62" s="448"/>
      <c r="AF62" s="510" t="s">
        <v>952</v>
      </c>
      <c r="AG62" s="534">
        <f>AG61/tfa</f>
        <v>141.65295078275901</v>
      </c>
      <c r="AH62" s="535">
        <f>AH61/tfa</f>
        <v>28.169765686826331</v>
      </c>
    </row>
    <row r="63" spans="1:34">
      <c r="A63" s="115" t="s">
        <v>927</v>
      </c>
      <c r="B63" s="115" t="s">
        <v>953</v>
      </c>
      <c r="C63" s="115"/>
      <c r="D63" s="115"/>
      <c r="E63" s="115"/>
      <c r="F63" s="472">
        <v>0</v>
      </c>
      <c r="G63" s="470">
        <f>$F63*H41</f>
        <v>0</v>
      </c>
      <c r="H63" s="470">
        <f>$F63*I41</f>
        <v>0</v>
      </c>
      <c r="I63" s="115"/>
      <c r="J63" s="114"/>
      <c r="K63" s="115"/>
      <c r="L63" s="115"/>
      <c r="M63" s="115"/>
      <c r="N63" s="115"/>
      <c r="O63" s="115"/>
      <c r="P63" s="115"/>
      <c r="S63" s="473"/>
      <c r="AF63" s="506"/>
      <c r="AG63" s="506"/>
    </row>
    <row r="64" spans="1:34">
      <c r="A64" s="115"/>
      <c r="B64" s="115" t="s">
        <v>954</v>
      </c>
      <c r="C64" s="115"/>
      <c r="D64" s="115"/>
      <c r="E64" s="115"/>
      <c r="F64" s="472"/>
      <c r="G64" s="470">
        <f>$F64*H42</f>
        <v>0</v>
      </c>
      <c r="H64" s="470">
        <f>$F64*I42</f>
        <v>0</v>
      </c>
      <c r="I64" s="115"/>
      <c r="J64" s="114" t="s">
        <v>206</v>
      </c>
      <c r="K64" s="115"/>
      <c r="L64" s="115"/>
      <c r="M64" s="115"/>
      <c r="N64" s="115"/>
      <c r="O64" s="115"/>
      <c r="P64" s="115"/>
      <c r="S64" s="473"/>
      <c r="AF64" s="510"/>
      <c r="AG64" s="534"/>
      <c r="AH64" s="535"/>
    </row>
    <row r="65" spans="1:34">
      <c r="A65" s="115" t="s">
        <v>932</v>
      </c>
      <c r="B65" s="115" t="s">
        <v>953</v>
      </c>
      <c r="C65" s="115"/>
      <c r="D65" s="115"/>
      <c r="E65" s="115"/>
      <c r="F65" s="472"/>
      <c r="G65" s="470">
        <f>$F65*H44</f>
        <v>0</v>
      </c>
      <c r="H65" s="470">
        <f>$F65*I44</f>
        <v>0</v>
      </c>
      <c r="I65" s="115"/>
      <c r="J65" s="114" t="s">
        <v>206</v>
      </c>
      <c r="K65" s="115"/>
      <c r="L65" s="115"/>
      <c r="M65" s="115"/>
      <c r="N65" s="115"/>
      <c r="O65" s="115"/>
      <c r="P65" s="115"/>
      <c r="S65" s="473"/>
      <c r="AF65" s="510"/>
      <c r="AG65" s="534"/>
      <c r="AH65" s="535"/>
    </row>
    <row r="66" spans="1:34">
      <c r="A66" s="115"/>
      <c r="B66" s="115" t="s">
        <v>954</v>
      </c>
      <c r="C66" s="115"/>
      <c r="D66" s="115"/>
      <c r="E66" s="115"/>
      <c r="F66" s="472"/>
      <c r="G66" s="470">
        <f>$F66*H45</f>
        <v>0</v>
      </c>
      <c r="H66" s="470">
        <f>$F66*I45</f>
        <v>0</v>
      </c>
      <c r="I66" s="115"/>
      <c r="J66" s="114" t="s">
        <v>206</v>
      </c>
      <c r="K66" s="115"/>
      <c r="L66" s="115"/>
      <c r="M66" s="115"/>
      <c r="N66" s="115"/>
      <c r="O66" s="115"/>
      <c r="P66" s="115"/>
      <c r="S66" s="473"/>
      <c r="AF66" s="510"/>
      <c r="AG66" s="534"/>
      <c r="AH66" s="535"/>
    </row>
    <row r="67" spans="1:34">
      <c r="A67" s="115" t="s">
        <v>936</v>
      </c>
      <c r="B67" s="115" t="s">
        <v>953</v>
      </c>
      <c r="C67" s="115"/>
      <c r="D67" s="115"/>
      <c r="E67" s="115"/>
      <c r="F67" s="472"/>
      <c r="G67" s="470">
        <f>$F67*H47</f>
        <v>0</v>
      </c>
      <c r="H67" s="470">
        <f>$F67*I47</f>
        <v>0</v>
      </c>
      <c r="I67" s="115"/>
      <c r="J67" s="114" t="s">
        <v>206</v>
      </c>
      <c r="K67" s="115"/>
      <c r="L67" s="115"/>
      <c r="M67" s="115"/>
      <c r="N67" s="115"/>
      <c r="O67" s="115"/>
      <c r="P67" s="115"/>
      <c r="S67" s="473"/>
      <c r="AF67" s="510"/>
      <c r="AG67" s="534"/>
      <c r="AH67" s="535"/>
    </row>
    <row r="68" spans="1:34">
      <c r="A68" s="115"/>
      <c r="B68" s="115" t="s">
        <v>954</v>
      </c>
      <c r="C68" s="115"/>
      <c r="D68" s="115"/>
      <c r="E68" s="115"/>
      <c r="F68" s="472"/>
      <c r="G68" s="470">
        <f>$F68*H48</f>
        <v>0</v>
      </c>
      <c r="H68" s="470">
        <f>$F68*I48</f>
        <v>0</v>
      </c>
      <c r="I68" s="115"/>
      <c r="J68" s="114" t="s">
        <v>206</v>
      </c>
      <c r="K68" s="115"/>
      <c r="L68" s="115"/>
      <c r="M68" s="115"/>
      <c r="N68" s="115"/>
      <c r="O68" s="115"/>
      <c r="P68" s="115"/>
      <c r="S68" s="473"/>
      <c r="AF68" s="510"/>
      <c r="AG68" s="534"/>
      <c r="AH68" s="535"/>
    </row>
    <row r="69" spans="1:34">
      <c r="A69" s="115"/>
      <c r="B69" s="115"/>
      <c r="C69" s="115"/>
      <c r="D69" s="115"/>
      <c r="E69" s="448"/>
      <c r="F69" s="448"/>
      <c r="G69" s="448"/>
      <c r="H69" s="448"/>
      <c r="I69" s="115"/>
      <c r="J69" s="114" t="s">
        <v>206</v>
      </c>
      <c r="K69" s="115"/>
      <c r="L69" s="115"/>
      <c r="M69" s="115"/>
      <c r="N69" s="115"/>
      <c r="O69" s="115"/>
      <c r="P69" s="115"/>
      <c r="R69" s="448"/>
      <c r="S69" s="448"/>
      <c r="AF69" s="533"/>
      <c r="AG69" s="533"/>
      <c r="AH69" s="533"/>
    </row>
    <row r="70" spans="1:34">
      <c r="A70" s="115"/>
      <c r="B70" s="115"/>
      <c r="C70" s="115"/>
      <c r="D70" s="115"/>
      <c r="E70" s="448"/>
      <c r="F70" s="448"/>
      <c r="G70" s="448"/>
      <c r="H70" s="448"/>
      <c r="I70" s="115"/>
      <c r="J70" s="115"/>
      <c r="K70" s="115"/>
      <c r="L70" s="115"/>
      <c r="M70" s="115"/>
      <c r="N70" s="115"/>
      <c r="O70" s="115"/>
      <c r="P70" s="115"/>
      <c r="R70" s="448"/>
      <c r="S70" s="448"/>
      <c r="AF70" s="533"/>
      <c r="AG70" s="533"/>
      <c r="AH70" s="533"/>
    </row>
    <row r="71" spans="1:34">
      <c r="A71"/>
      <c r="B71"/>
      <c r="C71"/>
      <c r="D71"/>
      <c r="E71"/>
      <c r="F71"/>
      <c r="G71"/>
      <c r="H71"/>
      <c r="I71"/>
      <c r="J71"/>
      <c r="K71"/>
      <c r="L71"/>
      <c r="M71"/>
      <c r="N71"/>
      <c r="O71" s="115"/>
      <c r="P71" s="115"/>
      <c r="R71" s="448"/>
      <c r="S71" s="448"/>
      <c r="AF71" s="533"/>
      <c r="AG71" s="533"/>
      <c r="AH71" s="533"/>
    </row>
    <row r="72" spans="1:34" ht="13">
      <c r="A72" s="18" t="s">
        <v>955</v>
      </c>
      <c r="B72" s="70"/>
      <c r="C72" s="70"/>
      <c r="D72" s="70"/>
      <c r="E72" s="70"/>
      <c r="F72" s="70"/>
      <c r="G72" s="70"/>
      <c r="H72" s="70"/>
      <c r="I72" s="70"/>
      <c r="J72" s="70"/>
      <c r="K72" s="70"/>
      <c r="L72" s="70"/>
      <c r="M72" s="70"/>
      <c r="N72" s="74"/>
      <c r="O72" s="115"/>
      <c r="P72" s="115"/>
      <c r="Q72" s="18" t="s">
        <v>956</v>
      </c>
      <c r="R72" s="70"/>
      <c r="S72" s="70"/>
      <c r="T72" s="70"/>
      <c r="U72" s="70"/>
      <c r="V72" s="70"/>
      <c r="W72" s="70"/>
      <c r="X72" s="493">
        <v>2011</v>
      </c>
      <c r="Y72" s="70"/>
      <c r="Z72" s="70"/>
      <c r="AA72" s="70"/>
      <c r="AB72" s="70"/>
      <c r="AC72" s="70"/>
      <c r="AD72" s="408"/>
      <c r="AF72" s="533"/>
      <c r="AG72" s="533"/>
      <c r="AH72" s="533"/>
    </row>
    <row r="73" spans="1:34" ht="34.5">
      <c r="A73" s="163"/>
      <c r="B73" s="115"/>
      <c r="C73" s="62" t="s">
        <v>957</v>
      </c>
      <c r="D73" s="62" t="s">
        <v>958</v>
      </c>
      <c r="E73" s="62" t="s">
        <v>959</v>
      </c>
      <c r="F73" s="62" t="s">
        <v>960</v>
      </c>
      <c r="G73" s="62" t="s">
        <v>961</v>
      </c>
      <c r="H73" s="111"/>
      <c r="I73" s="111"/>
      <c r="J73" s="110"/>
      <c r="K73" s="111"/>
      <c r="L73" s="186"/>
      <c r="M73" s="110"/>
      <c r="N73" s="164"/>
      <c r="O73" s="115"/>
      <c r="P73" s="115"/>
      <c r="Q73" s="71" t="s">
        <v>962</v>
      </c>
      <c r="AD73" s="409"/>
      <c r="AF73" s="506"/>
      <c r="AG73" s="506"/>
    </row>
    <row r="74" spans="1:34" ht="15.5">
      <c r="A74" s="163"/>
      <c r="B74" s="115"/>
      <c r="C74" s="115"/>
      <c r="D74" s="115"/>
      <c r="E74" s="110"/>
      <c r="F74" s="110"/>
      <c r="G74" s="110"/>
      <c r="H74" s="111"/>
      <c r="I74" s="113" t="s">
        <v>963</v>
      </c>
      <c r="J74" s="113"/>
      <c r="K74" s="165" t="s">
        <v>964</v>
      </c>
      <c r="L74" s="110" t="s">
        <v>965</v>
      </c>
      <c r="M74" s="111" t="s">
        <v>966</v>
      </c>
      <c r="N74" s="166" t="s">
        <v>967</v>
      </c>
      <c r="O74" s="115"/>
      <c r="P74" s="115"/>
      <c r="Q74" s="71"/>
      <c r="Y74" s="115"/>
      <c r="AD74" s="409"/>
      <c r="AF74" s="506"/>
      <c r="AG74" s="506"/>
    </row>
    <row r="75" spans="1:34" ht="15.5">
      <c r="A75" s="167" t="s">
        <v>917</v>
      </c>
      <c r="B75" s="115"/>
      <c r="C75" s="114">
        <f>IFERROR(IF('ER1'!H32=Fuel!$G$28,'ER1'!F53,0),0)</f>
        <v>0</v>
      </c>
      <c r="D75" s="114">
        <f>IFERROR(IF('ER1'!H32=Fuel!$G$28,0,'ER1'!F53),0)</f>
        <v>3089.9822890565615</v>
      </c>
      <c r="E75" s="165">
        <f>IF(VLOOKUP('ER1'!D32,Fuel!$C$4:$I$25,7,FALSE),D75,0)</f>
        <v>0</v>
      </c>
      <c r="F75" s="165">
        <f>IF(VLOOKUP('ER1'!D32,Fuel!$C$4:$K$25,8,FALSE),D75,0)</f>
        <v>0</v>
      </c>
      <c r="G75" s="165">
        <f>IF(VLOOKUP('ER1'!D32,Fuel!$C$4:$K$25,9,FALSE),D75,0)</f>
        <v>0</v>
      </c>
      <c r="H75" s="111"/>
      <c r="I75" s="209" t="s">
        <v>968</v>
      </c>
      <c r="J75" s="112">
        <f>IF(OR(I4="Heat Pump",I4="Exhaust Air Heat Pump"),1,0)</f>
        <v>0</v>
      </c>
      <c r="K75" s="546">
        <f>IF(J75,HP!F115,0)</f>
        <v>0</v>
      </c>
      <c r="L75" s="211">
        <f>IF(J75,HP!D115,0)</f>
        <v>0</v>
      </c>
      <c r="M75" s="211">
        <f>IFERROR(IF(J75,L75/(K75/100),0),0)</f>
        <v>0</v>
      </c>
      <c r="N75" s="150">
        <f>IF(I4="Exhaust Air Heat Pump",(L75-M75)*N6,(L75-M75))</f>
        <v>0</v>
      </c>
      <c r="O75" s="115"/>
      <c r="P75" s="115"/>
      <c r="Q75" s="71" t="s">
        <v>969</v>
      </c>
      <c r="R75" s="115"/>
      <c r="S75" s="115"/>
      <c r="T75" s="115"/>
      <c r="U75" s="448"/>
      <c r="V75" s="115"/>
      <c r="W75" s="448" t="s">
        <v>970</v>
      </c>
      <c r="X75" s="115"/>
      <c r="Y75" s="115"/>
      <c r="Z75" s="448" t="s">
        <v>971</v>
      </c>
      <c r="AA75" s="448"/>
      <c r="AB75" s="115" t="s">
        <v>972</v>
      </c>
      <c r="AD75" s="409"/>
      <c r="AF75" s="506"/>
      <c r="AG75" s="506"/>
    </row>
    <row r="76" spans="1:34" ht="15.5">
      <c r="A76" s="167" t="s">
        <v>919</v>
      </c>
      <c r="B76" s="115"/>
      <c r="C76" s="114">
        <f>IFERROR(IF('ER1'!H33=Fuel!$G$28,'ER1'!F54,0),0)</f>
        <v>0</v>
      </c>
      <c r="D76" s="114">
        <f>IFERROR(IF('ER1'!H33=Fuel!$G$28,0,'ER1'!F54),0)</f>
        <v>0</v>
      </c>
      <c r="E76" s="165">
        <f>IF(VLOOKUP('ER1'!D33,Fuel!$C$4:$I$25,7,FALSE),D76,0)</f>
        <v>0</v>
      </c>
      <c r="F76" s="165">
        <f>IF(VLOOKUP('ER1'!D33,Fuel!$C$4:$K$25,8,FALSE),D76,0)</f>
        <v>0</v>
      </c>
      <c r="G76" s="165">
        <f>IF(VLOOKUP('ER1'!D33,Fuel!$C$4:$K$25,9,FALSE),D76,0)</f>
        <v>0</v>
      </c>
      <c r="H76" s="111"/>
      <c r="I76" s="209" t="s">
        <v>973</v>
      </c>
      <c r="J76" s="112">
        <f>IF('ER1'!J9&gt;(100),1,0)</f>
        <v>0</v>
      </c>
      <c r="K76" s="546">
        <f>J9</f>
        <v>0</v>
      </c>
      <c r="L76" s="211">
        <f>IF(J76,'ER1'!F54*'ER1'!J9/100,0)</f>
        <v>0</v>
      </c>
      <c r="M76" s="211">
        <f>IF(J76,'ER1'!F54,0)</f>
        <v>0</v>
      </c>
      <c r="N76" s="150">
        <f>L76-M76</f>
        <v>0</v>
      </c>
      <c r="O76" s="115"/>
      <c r="P76" s="115"/>
      <c r="Q76" s="71"/>
      <c r="R76" s="115"/>
      <c r="S76" s="115"/>
      <c r="T76" s="115"/>
      <c r="U76" s="448"/>
      <c r="V76" s="115"/>
      <c r="W76" s="448" t="s">
        <v>974</v>
      </c>
      <c r="X76" s="115"/>
      <c r="Y76" s="115"/>
      <c r="Z76" s="448" t="s">
        <v>811</v>
      </c>
      <c r="AA76" s="448" t="s">
        <v>975</v>
      </c>
      <c r="AB76" s="115" t="s">
        <v>976</v>
      </c>
      <c r="AD76" s="409"/>
      <c r="AF76" s="506"/>
      <c r="AG76" s="506"/>
    </row>
    <row r="77" spans="1:34" ht="15.5">
      <c r="A77" s="167" t="s">
        <v>920</v>
      </c>
      <c r="B77" s="115"/>
      <c r="C77" s="114">
        <f>IFERROR(IF('ER1'!H34=Fuel!$G$28,'ER1'!F55,0),0)</f>
        <v>0</v>
      </c>
      <c r="D77" s="114">
        <f>IFERROR(IF('ER1'!H34=Fuel!$G$28,0,'ER1'!F55),0)</f>
        <v>2725.7507665950402</v>
      </c>
      <c r="E77" s="165">
        <f>IF(VLOOKUP('ER1'!D34,Fuel!$C$4:$I$25,7,FALSE),D77,0)</f>
        <v>0</v>
      </c>
      <c r="F77" s="165">
        <f>IF(VLOOKUP('ER1'!D34,Fuel!$C$4:$K$25,8,FALSE),D77,0)</f>
        <v>0</v>
      </c>
      <c r="G77" s="165">
        <f>IF(VLOOKUP('ER1'!D34,Fuel!$C$4:$K$25,9,FALSE),D77,0)</f>
        <v>0</v>
      </c>
      <c r="H77" s="111"/>
      <c r="I77" s="209" t="s">
        <v>977</v>
      </c>
      <c r="J77" s="112">
        <f>IF(OR(I14="Heat Pump",I14="Exhaust Air Heat Pump"),1,0)</f>
        <v>0</v>
      </c>
      <c r="K77" s="546">
        <f>IF(J77,HP!F116,0)</f>
        <v>0</v>
      </c>
      <c r="L77" s="211">
        <f>IF(J77,HP!D116,0)</f>
        <v>0</v>
      </c>
      <c r="M77" s="211">
        <f>IFERROR(IF(J77,L77/(K77/100),0),0)</f>
        <v>0</v>
      </c>
      <c r="N77" s="150">
        <f>IF(I14="Exhaust Air Heat Pump",(L77-M77)*N16,(L77-M77))</f>
        <v>0</v>
      </c>
      <c r="O77" s="115"/>
      <c r="P77" s="115"/>
      <c r="Q77" s="71" t="s">
        <v>978</v>
      </c>
      <c r="R77" s="115"/>
      <c r="S77" s="115"/>
      <c r="T77" s="115"/>
      <c r="U77" s="448"/>
      <c r="V77" s="115"/>
      <c r="W77" s="115">
        <f>WH!G78</f>
        <v>0</v>
      </c>
      <c r="X77" s="115"/>
      <c r="Y77" s="115"/>
      <c r="Z77" s="392">
        <f>IF(W77,WH!G81,0)</f>
        <v>0</v>
      </c>
      <c r="AA77" s="114">
        <f>IF(tfa,Z77/tfa,0)</f>
        <v>0</v>
      </c>
      <c r="AB77" s="115">
        <v>1</v>
      </c>
      <c r="AD77" s="409"/>
      <c r="AF77" s="506"/>
      <c r="AG77" s="506"/>
    </row>
    <row r="78" spans="1:34" ht="15.5">
      <c r="A78" s="167" t="s">
        <v>921</v>
      </c>
      <c r="B78" s="115"/>
      <c r="C78" s="114">
        <f>IFERROR(IF('ER1'!H35=Fuel!$G$28,'ER1'!F56,0),0)</f>
        <v>0</v>
      </c>
      <c r="D78" s="114">
        <f>IFERROR(IF('ER1'!H35=Fuel!$G$28,0,'ER1'!F56),0)</f>
        <v>0</v>
      </c>
      <c r="E78" s="165" t="s">
        <v>206</v>
      </c>
      <c r="F78" s="110"/>
      <c r="G78" s="110"/>
      <c r="H78" s="111"/>
      <c r="I78" s="111"/>
      <c r="J78" s="110"/>
      <c r="K78" s="111"/>
      <c r="L78" s="186"/>
      <c r="M78" s="110"/>
      <c r="N78" s="164"/>
      <c r="O78" s="115"/>
      <c r="P78" s="115"/>
      <c r="Q78" s="71" t="s">
        <v>979</v>
      </c>
      <c r="R78" s="115"/>
      <c r="S78" s="115"/>
      <c r="T78" s="115"/>
      <c r="U78" s="448"/>
      <c r="V78" s="115"/>
      <c r="W78" s="448">
        <f>IF(AND('ER1'!I32=Fuel!$H$18,'ER1'!J7&gt;250),1,0)</f>
        <v>0</v>
      </c>
      <c r="X78" s="115"/>
      <c r="Z78" s="392">
        <f>IF(W78,('ER1'!J7/100-2.5)*'ER1'!J10,0)</f>
        <v>0</v>
      </c>
      <c r="AA78" s="114">
        <f t="shared" ref="AA78:AA89" si="3">IF(tfa,Z78/tfa,0)</f>
        <v>0</v>
      </c>
      <c r="AB78" s="115">
        <v>1</v>
      </c>
      <c r="AD78" s="409"/>
      <c r="AF78" s="506"/>
      <c r="AG78" s="506"/>
    </row>
    <row r="79" spans="1:34" ht="15.5">
      <c r="A79" s="167" t="s">
        <v>28</v>
      </c>
      <c r="B79" s="115"/>
      <c r="C79" s="114">
        <f>IFERROR(IF('ER1'!H36=Fuel!$G$28,'ER1'!F57,0),0)</f>
        <v>0</v>
      </c>
      <c r="D79" s="114">
        <f>IFERROR(IF('ER1'!H36=Fuel!$G$28,0,'ER1'!F57),0)</f>
        <v>0</v>
      </c>
      <c r="E79" s="165"/>
      <c r="F79" s="110"/>
      <c r="G79" s="110"/>
      <c r="H79" s="111"/>
      <c r="I79" s="111"/>
      <c r="J79" s="110"/>
      <c r="K79" s="111"/>
      <c r="L79" s="186"/>
      <c r="M79" s="110"/>
      <c r="N79" s="164"/>
      <c r="O79" s="115"/>
      <c r="P79" s="115"/>
      <c r="Q79" s="71"/>
      <c r="R79" s="115"/>
      <c r="S79" s="115"/>
      <c r="T79" s="115"/>
      <c r="U79" s="448"/>
      <c r="V79" s="115"/>
      <c r="W79" s="448"/>
      <c r="X79" s="115"/>
      <c r="Z79" s="392"/>
      <c r="AA79" s="114"/>
      <c r="AB79" s="115"/>
      <c r="AD79" s="409"/>
      <c r="AF79" s="506"/>
      <c r="AG79" s="506"/>
    </row>
    <row r="80" spans="1:34" ht="15.5">
      <c r="A80" s="167" t="s">
        <v>923</v>
      </c>
      <c r="B80" s="115"/>
      <c r="C80" s="114">
        <f>IF('ER1'!H37=Fuel!$G$28,'ER1'!F58,0)</f>
        <v>97</v>
      </c>
      <c r="D80" s="114">
        <f>IF('ER1'!H37=Fuel!$G$28,0,'ER1'!F58)</f>
        <v>0</v>
      </c>
      <c r="E80" s="165" t="s">
        <v>206</v>
      </c>
      <c r="F80" s="110"/>
      <c r="G80" s="110"/>
      <c r="H80" s="110"/>
      <c r="I80" s="113" t="s">
        <v>980</v>
      </c>
      <c r="J80" s="111"/>
      <c r="K80" s="111"/>
      <c r="L80" s="113" t="s">
        <v>980</v>
      </c>
      <c r="M80" s="111"/>
      <c r="N80" s="164"/>
      <c r="O80" s="115"/>
      <c r="P80" s="115"/>
      <c r="Q80" s="71" t="s">
        <v>981</v>
      </c>
      <c r="R80" s="115"/>
      <c r="S80" s="115"/>
      <c r="T80" s="115"/>
      <c r="U80" s="448"/>
      <c r="V80" s="115"/>
      <c r="W80" s="448">
        <f>IF(AND('ER1'!I33=Fuel!$H$18,'ER1'!J9&gt;250),1,0)</f>
        <v>0</v>
      </c>
      <c r="X80" s="115"/>
      <c r="Z80" s="392">
        <f>IF(W80,('ER1'!J9/100-2.5)*'ER1'!J11,0)</f>
        <v>0</v>
      </c>
      <c r="AA80" s="114">
        <f t="shared" si="3"/>
        <v>0</v>
      </c>
      <c r="AB80" s="115">
        <v>1</v>
      </c>
      <c r="AD80" s="409"/>
      <c r="AF80" s="506"/>
      <c r="AG80" s="506"/>
    </row>
    <row r="81" spans="1:33" ht="15.5">
      <c r="A81" s="167" t="s">
        <v>924</v>
      </c>
      <c r="B81" s="115"/>
      <c r="C81" s="114">
        <f>IF('ER1'!H38=Fuel!$G$28,'ER1'!F59,0)</f>
        <v>246.51445106940128</v>
      </c>
      <c r="D81" s="114">
        <f>IF('ER1'!H38=Fuel!$G$28,0,'ER1'!F59)</f>
        <v>0</v>
      </c>
      <c r="E81" s="165" t="s">
        <v>206</v>
      </c>
      <c r="F81" s="110"/>
      <c r="G81" s="110"/>
      <c r="H81" s="111"/>
      <c r="I81" s="111" t="s">
        <v>982</v>
      </c>
      <c r="J81" s="176">
        <f>SUM(F62)</f>
        <v>1477</v>
      </c>
      <c r="K81" s="111"/>
      <c r="L81" s="111" t="s">
        <v>903</v>
      </c>
      <c r="M81" s="176">
        <f>SUM(N47)</f>
        <v>0</v>
      </c>
      <c r="N81" s="164"/>
      <c r="O81" s="115"/>
      <c r="P81" s="115"/>
      <c r="Q81" s="71" t="s">
        <v>983</v>
      </c>
      <c r="R81" s="115"/>
      <c r="S81" s="115"/>
      <c r="T81" s="115"/>
      <c r="U81" s="448"/>
      <c r="V81" s="115"/>
      <c r="W81" s="448">
        <f>IF(AND('ER1'!I34=Fuel!$H$18,'ER1'!J16&gt;250),1,0)</f>
        <v>0</v>
      </c>
      <c r="X81" s="115"/>
      <c r="Z81" s="392">
        <f>IF(W81,('ER1'!J16/100-2.5)*'ER1'!J17,0)</f>
        <v>0</v>
      </c>
      <c r="AA81" s="114">
        <f t="shared" si="3"/>
        <v>0</v>
      </c>
      <c r="AB81" s="115">
        <v>1</v>
      </c>
      <c r="AD81" s="409"/>
      <c r="AF81" s="506"/>
      <c r="AG81" s="506"/>
    </row>
    <row r="82" spans="1:33" ht="15.5">
      <c r="A82" s="167" t="s">
        <v>984</v>
      </c>
      <c r="B82" s="115"/>
      <c r="C82" s="114"/>
      <c r="D82" s="114">
        <f>'ER1'!F60</f>
        <v>0</v>
      </c>
      <c r="E82" s="165">
        <f>IF(VLOOKUP('ER1'!L43,Fuel!$C$4:$I$25,7,FALSE),D82,0)</f>
        <v>0</v>
      </c>
      <c r="F82" s="165">
        <f>IF(VLOOKUP('ER1'!L43,Fuel!$C$4:$K$25,8,FALSE),D82,0)</f>
        <v>0</v>
      </c>
      <c r="G82" s="165">
        <f>IF(VLOOKUP('ER1'!L43,Fuel!$C$4:$K$25,9,FALSE),D82,0)</f>
        <v>0</v>
      </c>
      <c r="H82" s="111"/>
      <c r="I82" s="111"/>
      <c r="J82" s="110"/>
      <c r="K82" s="111"/>
      <c r="L82" s="186"/>
      <c r="M82" s="110"/>
      <c r="N82" s="164"/>
      <c r="O82" s="115"/>
      <c r="P82" s="115"/>
      <c r="Q82" s="167" t="s">
        <v>985</v>
      </c>
      <c r="R82" s="115"/>
      <c r="S82" s="115"/>
      <c r="T82" s="115"/>
      <c r="U82" s="448"/>
      <c r="V82" s="115"/>
      <c r="W82" s="115">
        <f>VLOOKUP(D32,Fuel!$C$4:$I$25,7,FALSE)</f>
        <v>0</v>
      </c>
      <c r="X82" s="115"/>
      <c r="Y82" s="115"/>
      <c r="Z82" s="392">
        <f>IF(W82,'ER1'!J10*('ER1'!J7/100),0)</f>
        <v>0</v>
      </c>
      <c r="AA82" s="114">
        <f t="shared" si="3"/>
        <v>0</v>
      </c>
      <c r="AB82" s="115">
        <v>1</v>
      </c>
      <c r="AD82" s="409"/>
      <c r="AF82" s="506"/>
      <c r="AG82" s="506"/>
    </row>
    <row r="83" spans="1:33" ht="15.5">
      <c r="A83" s="163"/>
      <c r="B83" s="115"/>
      <c r="C83" s="110"/>
      <c r="D83" s="110"/>
      <c r="E83" s="110"/>
      <c r="F83" s="110"/>
      <c r="G83" s="110"/>
      <c r="H83" s="111"/>
      <c r="I83" s="113" t="s">
        <v>986</v>
      </c>
      <c r="J83" s="111"/>
      <c r="K83" s="111"/>
      <c r="L83" s="185" t="s">
        <v>987</v>
      </c>
      <c r="M83" s="110"/>
      <c r="N83" s="164"/>
      <c r="O83" s="115"/>
      <c r="P83" s="115"/>
      <c r="Q83" s="167" t="s">
        <v>988</v>
      </c>
      <c r="R83" s="115"/>
      <c r="S83" s="115"/>
      <c r="T83" s="115"/>
      <c r="U83" s="448"/>
      <c r="V83" s="115"/>
      <c r="W83" s="115">
        <f>VLOOKUP(D33,Fuel!$C$4:$I$25,7,FALSE)</f>
        <v>0</v>
      </c>
      <c r="X83" s="115"/>
      <c r="Y83" s="115"/>
      <c r="Z83" s="392">
        <f>IF(W83,'ER1'!J11*('ER1'!J9/100),0)</f>
        <v>0</v>
      </c>
      <c r="AA83" s="114">
        <f t="shared" si="3"/>
        <v>0</v>
      </c>
      <c r="AB83" s="115">
        <v>1</v>
      </c>
      <c r="AD83" s="409"/>
      <c r="AF83" s="506"/>
      <c r="AG83" s="506"/>
    </row>
    <row r="84" spans="1:33" ht="15.5">
      <c r="A84" s="168" t="s">
        <v>989</v>
      </c>
      <c r="B84" s="416"/>
      <c r="C84" s="169">
        <f>SUM(C75:C81)</f>
        <v>343.51445106940128</v>
      </c>
      <c r="D84" s="169">
        <f>SUM(D75:D82)</f>
        <v>5815.7330556516017</v>
      </c>
      <c r="E84" s="169">
        <f>SUM(E75:E82)</f>
        <v>0</v>
      </c>
      <c r="F84" s="169">
        <f t="shared" ref="F84:G84" si="4">SUM(F75:F82)</f>
        <v>0</v>
      </c>
      <c r="G84" s="169">
        <f t="shared" si="4"/>
        <v>0</v>
      </c>
      <c r="H84" s="170"/>
      <c r="I84" s="170" t="s">
        <v>243</v>
      </c>
      <c r="J84" s="177">
        <f>G63+G65+G67-G64-G66-G68</f>
        <v>0</v>
      </c>
      <c r="K84" s="170"/>
      <c r="L84" s="172">
        <f>IF(N40&gt;0, (N40*((1.1/0.9)+((N41*Fuel!G28)/(N42))-(1.1/N42))),0)</f>
        <v>0</v>
      </c>
      <c r="M84" s="171"/>
      <c r="N84" s="173"/>
      <c r="O84" s="115"/>
      <c r="P84" s="115"/>
      <c r="Q84" s="167" t="s">
        <v>990</v>
      </c>
      <c r="R84" s="115"/>
      <c r="S84" s="115"/>
      <c r="T84" s="115"/>
      <c r="U84" s="448"/>
      <c r="V84" s="115"/>
      <c r="W84" s="115">
        <f>VLOOKUP(D34,Fuel!$C$4:$I$25,7,FALSE)</f>
        <v>0</v>
      </c>
      <c r="X84" s="115"/>
      <c r="Y84" s="115"/>
      <c r="Z84" s="392">
        <f>IF(W84,'ER1'!J17*('ER1'!J16/100),0)</f>
        <v>0</v>
      </c>
      <c r="AA84" s="114">
        <f t="shared" si="3"/>
        <v>0</v>
      </c>
      <c r="AB84" s="115">
        <v>1</v>
      </c>
      <c r="AD84" s="409"/>
      <c r="AF84" s="506"/>
      <c r="AG84" s="506"/>
    </row>
    <row r="85" spans="1:33">
      <c r="A85" s="115"/>
      <c r="B85" s="115"/>
      <c r="C85" s="115"/>
      <c r="D85" s="115"/>
      <c r="E85" s="115"/>
      <c r="F85" s="115"/>
      <c r="G85" s="115"/>
      <c r="H85" s="115"/>
      <c r="I85" s="115"/>
      <c r="J85" s="115"/>
      <c r="K85" s="115"/>
      <c r="L85" s="115"/>
      <c r="M85" s="115"/>
      <c r="N85" s="115"/>
      <c r="O85" s="115"/>
      <c r="P85" s="115"/>
      <c r="Q85" s="71" t="s">
        <v>991</v>
      </c>
      <c r="R85" s="115"/>
      <c r="S85" s="115"/>
      <c r="T85" s="115"/>
      <c r="U85" s="448"/>
      <c r="V85" s="115"/>
      <c r="W85" s="448">
        <f>IF(N40&gt;0,1,0)</f>
        <v>0</v>
      </c>
      <c r="X85" s="115"/>
      <c r="Y85" s="115"/>
      <c r="Z85" s="115">
        <f>IF(F118&gt;0,F118,0)</f>
        <v>0</v>
      </c>
      <c r="AA85" s="114">
        <f t="shared" si="3"/>
        <v>0</v>
      </c>
      <c r="AB85" s="115">
        <v>1</v>
      </c>
      <c r="AD85" s="409"/>
      <c r="AF85" s="506"/>
      <c r="AG85" s="506"/>
    </row>
    <row r="86" spans="1:33" ht="38">
      <c r="A86" s="3" t="s">
        <v>992</v>
      </c>
      <c r="B86" s="115"/>
      <c r="C86" s="115"/>
      <c r="D86" s="115"/>
      <c r="E86" s="115"/>
      <c r="F86" s="115"/>
      <c r="G86" s="115"/>
      <c r="H86" s="115"/>
      <c r="I86" s="115"/>
      <c r="J86" s="115"/>
      <c r="K86" s="115"/>
      <c r="L86" s="115"/>
      <c r="M86" s="115"/>
      <c r="N86" s="115"/>
      <c r="O86" s="115"/>
      <c r="Q86" s="71" t="s">
        <v>993</v>
      </c>
      <c r="R86" s="115"/>
      <c r="S86" s="115"/>
      <c r="T86" s="115"/>
      <c r="U86" s="448"/>
      <c r="V86" s="115"/>
      <c r="W86" s="448" t="s">
        <v>486</v>
      </c>
      <c r="X86" s="115"/>
      <c r="Y86" s="115"/>
      <c r="Z86" s="494" t="s">
        <v>994</v>
      </c>
      <c r="AA86" s="448"/>
      <c r="AB86" s="115"/>
      <c r="AD86" s="409"/>
      <c r="AF86" s="506"/>
      <c r="AG86" s="506"/>
    </row>
    <row r="87" spans="1:33" ht="13">
      <c r="A87" s="3" t="s">
        <v>995</v>
      </c>
      <c r="B87" s="115"/>
      <c r="C87" s="115"/>
      <c r="D87" s="115"/>
      <c r="E87" s="115"/>
      <c r="F87" s="115"/>
      <c r="G87" s="115"/>
      <c r="H87" s="115"/>
      <c r="I87" s="115"/>
      <c r="J87" s="115"/>
      <c r="K87" s="115"/>
      <c r="L87" s="115"/>
      <c r="M87" s="115"/>
      <c r="N87" s="115"/>
      <c r="O87" s="115"/>
      <c r="Q87" s="167" t="s">
        <v>927</v>
      </c>
      <c r="R87" s="115" t="str">
        <f>IF(ISBLANK(T41),"-",T41)</f>
        <v>-</v>
      </c>
      <c r="S87" s="115"/>
      <c r="T87" s="115"/>
      <c r="U87" s="448"/>
      <c r="V87" s="115"/>
      <c r="W87" s="703" t="s">
        <v>996</v>
      </c>
      <c r="X87" s="704"/>
      <c r="Y87" s="495"/>
      <c r="Z87" s="496"/>
      <c r="AA87" s="114">
        <f>IF(tfa,Z87/tfa,0)</f>
        <v>0</v>
      </c>
      <c r="AB87" s="495">
        <f>VLOOKUP(W87,'ER1'!$A$111:$C$113,3,FALSE)</f>
        <v>0</v>
      </c>
      <c r="AD87" s="409"/>
      <c r="AF87" s="506"/>
      <c r="AG87" s="506"/>
    </row>
    <row r="88" spans="1:33" ht="13">
      <c r="A88" s="3" t="str">
        <f>Fuel!C23</f>
        <v>-</v>
      </c>
      <c r="B88" s="115"/>
      <c r="C88" s="115"/>
      <c r="D88" s="115"/>
      <c r="E88" s="115"/>
      <c r="F88" s="115"/>
      <c r="G88" s="115"/>
      <c r="H88" s="115"/>
      <c r="I88" s="115"/>
      <c r="J88" s="115"/>
      <c r="K88" s="115"/>
      <c r="L88" s="115"/>
      <c r="M88" s="115"/>
      <c r="N88" s="115"/>
      <c r="O88" s="115"/>
      <c r="Q88" s="167" t="s">
        <v>932</v>
      </c>
      <c r="R88" s="115" t="str">
        <f>IF(ISBLANK(T44),"-",T44)</f>
        <v>-</v>
      </c>
      <c r="S88" s="115"/>
      <c r="T88" s="115"/>
      <c r="U88" s="448"/>
      <c r="V88" s="115"/>
      <c r="W88" s="703" t="s">
        <v>996</v>
      </c>
      <c r="X88" s="704"/>
      <c r="Y88" s="115"/>
      <c r="Z88" s="496"/>
      <c r="AA88" s="114">
        <f t="shared" si="3"/>
        <v>0</v>
      </c>
      <c r="AB88" s="495">
        <f>VLOOKUP(W88,'ER1'!$A$111:$C$113,3,FALSE)</f>
        <v>0</v>
      </c>
      <c r="AD88" s="409"/>
      <c r="AF88" s="506"/>
      <c r="AG88" s="506"/>
    </row>
    <row r="89" spans="1:33">
      <c r="A89" s="115" t="str">
        <f>Fuel!C4</f>
        <v>mains gas</v>
      </c>
      <c r="B89" s="115"/>
      <c r="C89" s="115"/>
      <c r="D89" s="115"/>
      <c r="E89" s="115"/>
      <c r="F89" s="115"/>
      <c r="G89" s="115"/>
      <c r="H89" s="115"/>
      <c r="I89" s="115"/>
      <c r="J89" s="115"/>
      <c r="K89" s="115"/>
      <c r="L89" s="115"/>
      <c r="M89" s="115"/>
      <c r="N89" s="115"/>
      <c r="O89" s="115"/>
      <c r="Q89" s="167" t="s">
        <v>936</v>
      </c>
      <c r="R89" s="115" t="str">
        <f>IF(ISBLANK(T47),"-",T47)</f>
        <v>-</v>
      </c>
      <c r="S89" s="115"/>
      <c r="T89" s="115"/>
      <c r="U89" s="448"/>
      <c r="V89" s="115"/>
      <c r="W89" s="703" t="s">
        <v>996</v>
      </c>
      <c r="X89" s="704"/>
      <c r="Y89" s="115"/>
      <c r="Z89" s="496"/>
      <c r="AA89" s="114">
        <f t="shared" si="3"/>
        <v>0</v>
      </c>
      <c r="AB89" s="495">
        <f>VLOOKUP(W89,'ER1'!$A$111:$C$113,3,FALSE)</f>
        <v>0</v>
      </c>
      <c r="AD89" s="409"/>
      <c r="AF89" s="506"/>
      <c r="AG89" s="506"/>
    </row>
    <row r="90" spans="1:33">
      <c r="A90" s="115" t="str">
        <f>Fuel!C5</f>
        <v>bulk LPG (propane or butane)</v>
      </c>
      <c r="B90" s="115"/>
      <c r="C90" s="115"/>
      <c r="D90" s="115"/>
      <c r="E90" s="115"/>
      <c r="F90" s="115"/>
      <c r="G90" s="115"/>
      <c r="H90" s="115"/>
      <c r="I90" s="115"/>
      <c r="J90" s="115"/>
      <c r="K90" s="115"/>
      <c r="L90" s="115"/>
      <c r="M90" s="115"/>
      <c r="N90" s="115"/>
      <c r="O90" s="115"/>
      <c r="Q90" s="167"/>
      <c r="AA90" s="497"/>
      <c r="AB90" s="115"/>
      <c r="AD90" s="409"/>
      <c r="AF90" s="506"/>
      <c r="AG90" s="506"/>
    </row>
    <row r="91" spans="1:33">
      <c r="A91" s="115" t="str">
        <f>Fuel!C6</f>
        <v>bottled LPG</v>
      </c>
      <c r="B91" s="115"/>
      <c r="C91" s="115"/>
      <c r="D91" s="115"/>
      <c r="E91" s="115"/>
      <c r="F91" s="115"/>
      <c r="G91" s="115"/>
      <c r="H91" s="115"/>
      <c r="I91" s="115"/>
      <c r="J91" s="115"/>
      <c r="K91" s="115"/>
      <c r="L91" s="115"/>
      <c r="M91" s="115"/>
      <c r="N91" s="115"/>
      <c r="O91" s="115"/>
      <c r="Q91" s="167"/>
      <c r="R91" s="448" t="s">
        <v>997</v>
      </c>
      <c r="S91" s="115"/>
      <c r="T91" s="115"/>
      <c r="U91" s="115"/>
      <c r="V91" s="115"/>
      <c r="W91" s="448"/>
      <c r="X91" s="115"/>
      <c r="Y91" s="115"/>
      <c r="Z91" s="448"/>
      <c r="AA91" s="498">
        <f>SUMIF(AB77:AB89,1,AA77:AA89)</f>
        <v>0</v>
      </c>
      <c r="AB91" s="115"/>
      <c r="AC91" s="115"/>
      <c r="AD91" s="409"/>
      <c r="AF91" s="506"/>
      <c r="AG91" s="506"/>
    </row>
    <row r="92" spans="1:33">
      <c r="A92" s="115" t="str">
        <f>Fuel!C7</f>
        <v>heating oil</v>
      </c>
      <c r="B92" s="115"/>
      <c r="C92" s="115"/>
      <c r="D92" s="115"/>
      <c r="E92" s="115"/>
      <c r="F92" s="115"/>
      <c r="G92" s="115"/>
      <c r="H92" s="115"/>
      <c r="I92" s="115"/>
      <c r="J92" s="115"/>
      <c r="K92" s="115"/>
      <c r="L92" s="115"/>
      <c r="M92" s="115"/>
      <c r="N92" s="115"/>
      <c r="O92" s="115"/>
      <c r="Q92" s="167"/>
      <c r="R92" s="448" t="s">
        <v>998</v>
      </c>
      <c r="S92" s="115"/>
      <c r="T92" s="115"/>
      <c r="U92" s="115"/>
      <c r="V92" s="448"/>
      <c r="W92" s="448"/>
      <c r="X92" s="448"/>
      <c r="Y92" s="115"/>
      <c r="Z92" s="115"/>
      <c r="AA92" s="497">
        <f>SUMIF(AB77:AB89,2,AA77:AA89)</f>
        <v>0</v>
      </c>
      <c r="AB92" s="115"/>
      <c r="AC92" s="115"/>
      <c r="AD92" s="409"/>
      <c r="AF92" s="506"/>
      <c r="AG92" s="506"/>
    </row>
    <row r="93" spans="1:33">
      <c r="A93" s="115" t="str">
        <f>Fuel!C8</f>
        <v>house coal</v>
      </c>
      <c r="B93" s="115"/>
      <c r="C93" s="115"/>
      <c r="D93" s="115"/>
      <c r="E93" s="115"/>
      <c r="F93" s="115"/>
      <c r="G93" s="115"/>
      <c r="H93" s="115"/>
      <c r="I93" s="115"/>
      <c r="J93" s="115"/>
      <c r="K93" s="115"/>
      <c r="L93" s="115"/>
      <c r="M93" s="115"/>
      <c r="N93" s="115"/>
      <c r="O93" s="115"/>
      <c r="Q93" s="167"/>
      <c r="R93" s="448" t="s">
        <v>999</v>
      </c>
      <c r="S93" s="115"/>
      <c r="T93" s="115"/>
      <c r="U93" s="115"/>
      <c r="V93" s="448"/>
      <c r="W93" s="448"/>
      <c r="X93" s="448"/>
      <c r="Y93" s="115"/>
      <c r="Z93" s="115"/>
      <c r="AA93" s="499">
        <f>AA91+AA92*2.5</f>
        <v>0</v>
      </c>
      <c r="AB93" s="115"/>
      <c r="AC93" s="115"/>
      <c r="AD93" s="409"/>
      <c r="AF93" s="506"/>
      <c r="AG93" s="506"/>
    </row>
    <row r="94" spans="1:33">
      <c r="A94" s="115" t="str">
        <f>Fuel!C9</f>
        <v>anthracite</v>
      </c>
      <c r="B94" s="115"/>
      <c r="C94" s="115"/>
      <c r="D94" s="115"/>
      <c r="E94" s="115"/>
      <c r="F94" s="115"/>
      <c r="G94" s="115"/>
      <c r="H94" s="115"/>
      <c r="I94" s="115"/>
      <c r="J94" s="115"/>
      <c r="K94" s="115"/>
      <c r="L94" s="115"/>
      <c r="M94" s="115"/>
      <c r="N94" s="115"/>
      <c r="O94" s="115"/>
      <c r="Q94" s="71"/>
      <c r="R94" s="448" t="s">
        <v>1000</v>
      </c>
      <c r="S94" s="115"/>
      <c r="T94" s="115"/>
      <c r="U94" s="448"/>
      <c r="V94" s="448"/>
      <c r="W94" s="448"/>
      <c r="X94" s="448"/>
      <c r="Y94" s="115"/>
      <c r="Z94" s="115"/>
      <c r="AA94" s="412" t="str">
        <f>IF(AA93&gt;=10,"Complies","Does not comply")</f>
        <v>Does not comply</v>
      </c>
      <c r="AD94" s="409"/>
      <c r="AF94" s="506"/>
      <c r="AG94" s="506"/>
    </row>
    <row r="95" spans="1:33">
      <c r="A95" s="115" t="str">
        <f>Fuel!C10</f>
        <v>manufactured smokeless fuel</v>
      </c>
      <c r="B95" s="115"/>
      <c r="C95" s="115"/>
      <c r="D95" s="115"/>
      <c r="E95" s="115"/>
      <c r="F95" s="115"/>
      <c r="G95" s="115"/>
      <c r="H95" s="115"/>
      <c r="I95" s="115"/>
      <c r="J95" s="115"/>
      <c r="K95" s="115"/>
      <c r="L95" s="115"/>
      <c r="M95" s="115"/>
      <c r="N95" s="115"/>
      <c r="O95" s="115"/>
      <c r="Q95" s="71"/>
      <c r="AD95" s="72"/>
      <c r="AF95" s="506"/>
      <c r="AG95" s="506"/>
    </row>
    <row r="96" spans="1:33">
      <c r="A96" s="115" t="str">
        <f>Fuel!C11</f>
        <v>peat briquettes</v>
      </c>
      <c r="B96" s="115"/>
      <c r="C96" s="115"/>
      <c r="D96" s="115"/>
      <c r="E96" s="115"/>
      <c r="F96" s="115"/>
      <c r="G96" s="115"/>
      <c r="H96" s="115"/>
      <c r="I96" s="115"/>
      <c r="J96" s="115"/>
      <c r="K96" s="115"/>
      <c r="L96" s="115"/>
      <c r="M96" s="115"/>
      <c r="N96" s="115"/>
      <c r="O96" s="115"/>
      <c r="Q96" s="500"/>
      <c r="R96" s="73"/>
      <c r="S96" s="73"/>
      <c r="T96" s="73"/>
      <c r="U96" s="73"/>
      <c r="V96" s="73"/>
      <c r="W96" s="73"/>
      <c r="X96" s="73"/>
      <c r="Y96" s="73"/>
      <c r="Z96" s="73"/>
      <c r="AA96" s="73"/>
      <c r="AB96" s="73"/>
      <c r="AC96" s="73"/>
      <c r="AD96" s="75"/>
      <c r="AF96" s="506"/>
      <c r="AG96" s="506"/>
    </row>
    <row r="97" spans="1:14">
      <c r="A97" s="115" t="str">
        <f>Fuel!C12</f>
        <v>sod peat</v>
      </c>
      <c r="B97" s="115"/>
      <c r="C97" s="115"/>
      <c r="D97" s="115"/>
      <c r="E97" s="115"/>
      <c r="F97" s="115"/>
      <c r="G97" s="115"/>
      <c r="H97" s="115"/>
      <c r="I97" s="115"/>
      <c r="J97" s="115"/>
      <c r="K97" s="115"/>
      <c r="L97" s="115"/>
      <c r="M97" s="115"/>
      <c r="N97" s="115"/>
    </row>
    <row r="98" spans="1:14">
      <c r="A98" s="115" t="str">
        <f>Fuel!C13</f>
        <v>wood logs</v>
      </c>
      <c r="B98" s="115"/>
      <c r="C98" s="115"/>
      <c r="D98" s="115"/>
      <c r="E98" s="115"/>
      <c r="F98" s="115"/>
      <c r="G98" s="115"/>
      <c r="H98" s="115"/>
      <c r="I98" s="115"/>
      <c r="J98" s="115"/>
      <c r="K98" s="115"/>
      <c r="L98" s="115"/>
      <c r="M98" s="115"/>
      <c r="N98" s="115"/>
    </row>
    <row r="99" spans="1:14">
      <c r="A99" s="115" t="str">
        <f>Fuel!C14</f>
        <v>wood pellets - in bags, for sec. htg</v>
      </c>
      <c r="B99" s="115"/>
      <c r="C99" s="115"/>
      <c r="D99" s="115"/>
      <c r="E99" s="115"/>
      <c r="F99" s="115"/>
      <c r="G99" s="115"/>
      <c r="H99" s="115"/>
      <c r="I99" s="115"/>
      <c r="J99" s="115"/>
      <c r="K99" s="115"/>
      <c r="L99" s="115"/>
      <c r="M99" s="115"/>
      <c r="N99" s="115"/>
    </row>
    <row r="100" spans="1:14">
      <c r="A100" s="115" t="str">
        <f>Fuel!C15</f>
        <v>wood pellets - bulk supply, for main htg</v>
      </c>
      <c r="B100" s="115"/>
      <c r="C100" s="115"/>
      <c r="D100" s="115"/>
      <c r="E100" s="115"/>
      <c r="F100" s="115"/>
      <c r="G100" s="115"/>
      <c r="H100" s="115"/>
      <c r="I100" s="115"/>
      <c r="J100" s="115"/>
      <c r="K100" s="115"/>
      <c r="L100" s="115"/>
      <c r="M100" s="115"/>
      <c r="N100" s="115"/>
    </row>
    <row r="101" spans="1:14">
      <c r="A101" s="115" t="str">
        <f>Fuel!C16</f>
        <v>wood chips</v>
      </c>
      <c r="B101" s="115"/>
      <c r="C101" s="115"/>
      <c r="D101" s="115"/>
      <c r="E101" s="115"/>
      <c r="F101" s="115"/>
      <c r="G101" s="115"/>
      <c r="H101" s="115"/>
      <c r="I101" s="115"/>
      <c r="J101" s="115"/>
      <c r="K101" s="115"/>
      <c r="L101" s="115"/>
      <c r="M101" s="115"/>
      <c r="N101" s="115"/>
    </row>
    <row r="102" spans="1:14">
      <c r="A102" s="115" t="str">
        <f>Fuel!C17</f>
        <v>solid multi-fuel</v>
      </c>
      <c r="B102" s="115"/>
      <c r="C102" s="115"/>
      <c r="D102" s="115"/>
      <c r="E102" s="115"/>
      <c r="F102" s="115"/>
      <c r="G102" s="115"/>
      <c r="H102" s="115"/>
      <c r="I102" s="115"/>
      <c r="J102" s="115"/>
      <c r="K102" s="115"/>
      <c r="L102" s="115"/>
      <c r="M102" s="115"/>
      <c r="N102" s="115"/>
    </row>
    <row r="103" spans="1:14">
      <c r="A103" s="115" t="str">
        <f>Fuel!C18</f>
        <v>electricity</v>
      </c>
      <c r="B103" s="115"/>
      <c r="C103" s="115"/>
      <c r="D103" s="115"/>
      <c r="E103" s="115"/>
      <c r="F103" s="115"/>
      <c r="G103" s="115"/>
      <c r="H103" s="115"/>
      <c r="I103" s="115"/>
      <c r="J103" s="115"/>
      <c r="K103" s="115"/>
      <c r="L103" s="115"/>
      <c r="M103" s="115"/>
      <c r="N103" s="115"/>
    </row>
    <row r="104" spans="1:14">
      <c r="A104" s="115" t="str">
        <f>Fuel!C24</f>
        <v>Biodiesel from renewable sources only</v>
      </c>
      <c r="B104" s="115"/>
      <c r="C104" s="115"/>
      <c r="D104" s="115"/>
      <c r="E104" s="115"/>
      <c r="F104" s="115"/>
      <c r="G104" s="115"/>
      <c r="H104" s="115"/>
      <c r="I104" s="115"/>
      <c r="J104" s="115"/>
      <c r="K104" s="115"/>
      <c r="L104" s="115"/>
      <c r="M104" s="115"/>
      <c r="N104" s="115"/>
    </row>
    <row r="105" spans="1:14">
      <c r="A105" s="115" t="str">
        <f>Fuel!C25</f>
        <v>Bioethanol from renewable sources only</v>
      </c>
      <c r="B105" s="115"/>
      <c r="C105" s="115"/>
      <c r="D105" s="115"/>
      <c r="E105" s="115"/>
      <c r="F105" s="115"/>
      <c r="G105" s="115"/>
      <c r="H105" s="115"/>
      <c r="I105" s="115"/>
      <c r="J105" s="115"/>
      <c r="K105" s="115"/>
      <c r="L105" s="115"/>
      <c r="M105" s="115"/>
      <c r="N105" s="115"/>
    </row>
    <row r="106" spans="1:14" ht="13">
      <c r="A106" s="8" t="s">
        <v>342</v>
      </c>
      <c r="B106" s="115"/>
      <c r="C106" s="115"/>
      <c r="D106" s="115"/>
      <c r="E106" s="115"/>
      <c r="F106" s="115"/>
      <c r="G106" s="115"/>
      <c r="H106" s="115"/>
      <c r="I106" s="115"/>
      <c r="J106" s="115"/>
      <c r="K106" s="115"/>
      <c r="L106" s="115"/>
      <c r="M106" s="115"/>
      <c r="N106" s="115"/>
    </row>
    <row r="107" spans="1:14">
      <c r="A107" s="115" t="s">
        <v>245</v>
      </c>
      <c r="B107" s="115">
        <v>1</v>
      </c>
      <c r="C107" s="115"/>
      <c r="D107" s="115"/>
      <c r="E107" s="115"/>
      <c r="F107" s="115"/>
      <c r="G107" s="115"/>
      <c r="H107" s="115"/>
      <c r="I107" s="115"/>
      <c r="J107" s="115"/>
      <c r="K107" s="115"/>
      <c r="L107" s="115"/>
      <c r="M107" s="115"/>
      <c r="N107" s="115"/>
    </row>
    <row r="108" spans="1:14">
      <c r="A108" s="115" t="s">
        <v>246</v>
      </c>
      <c r="B108" s="115">
        <v>0</v>
      </c>
      <c r="C108" s="115"/>
      <c r="D108" s="115"/>
      <c r="E108" s="115"/>
      <c r="F108" s="115"/>
      <c r="G108" s="115"/>
      <c r="H108" s="115"/>
      <c r="I108" s="115"/>
      <c r="J108" s="115"/>
      <c r="K108" s="115"/>
      <c r="L108" s="115"/>
      <c r="M108" s="115"/>
      <c r="N108" s="115"/>
    </row>
    <row r="110" spans="1:14" ht="13">
      <c r="A110" s="8" t="s">
        <v>1001</v>
      </c>
      <c r="B110" s="115"/>
      <c r="C110" s="115"/>
      <c r="D110" s="115"/>
      <c r="E110" s="115"/>
      <c r="F110" s="115"/>
      <c r="G110" s="115"/>
      <c r="H110" s="115"/>
      <c r="I110" s="115"/>
      <c r="J110" s="115"/>
      <c r="K110" s="115"/>
      <c r="L110" s="115"/>
      <c r="M110" s="115"/>
      <c r="N110" s="115"/>
    </row>
    <row r="111" spans="1:14">
      <c r="A111" s="115" t="s">
        <v>996</v>
      </c>
      <c r="B111" s="115"/>
      <c r="C111" s="115">
        <v>0</v>
      </c>
      <c r="D111" s="115"/>
      <c r="E111" s="115"/>
      <c r="F111" s="115"/>
      <c r="G111" s="115"/>
      <c r="H111" s="115"/>
      <c r="I111" s="115"/>
      <c r="J111" s="115"/>
      <c r="K111" s="115"/>
      <c r="L111" s="115"/>
      <c r="M111" s="115"/>
      <c r="N111" s="115"/>
    </row>
    <row r="112" spans="1:14">
      <c r="A112" s="115" t="s">
        <v>1002</v>
      </c>
      <c r="B112" s="115"/>
      <c r="C112" s="115">
        <v>1</v>
      </c>
      <c r="D112" s="115"/>
      <c r="E112" s="115"/>
      <c r="F112" s="115"/>
      <c r="G112" s="115"/>
      <c r="H112" s="115"/>
      <c r="I112" s="115"/>
      <c r="J112" s="115"/>
      <c r="K112" s="115"/>
      <c r="L112" s="115"/>
      <c r="M112" s="115"/>
      <c r="N112" s="115"/>
    </row>
    <row r="113" spans="1:6">
      <c r="A113" s="115" t="s">
        <v>1003</v>
      </c>
      <c r="B113" s="115"/>
      <c r="C113" s="115">
        <v>2</v>
      </c>
      <c r="D113" s="115"/>
      <c r="E113" s="115"/>
      <c r="F113" s="115"/>
    </row>
    <row r="116" spans="1:6" ht="13">
      <c r="A116" s="8" t="s">
        <v>903</v>
      </c>
      <c r="B116" s="115"/>
      <c r="C116" s="115"/>
      <c r="D116" s="115"/>
      <c r="E116" s="115"/>
      <c r="F116" s="115"/>
    </row>
    <row r="117" spans="1:6">
      <c r="A117" s="115" t="s">
        <v>1004</v>
      </c>
      <c r="B117" s="115"/>
      <c r="C117" s="115"/>
      <c r="D117" s="115"/>
      <c r="E117" s="115"/>
      <c r="F117" s="115">
        <f>(1-J8)*ShReqt</f>
        <v>2821.1538299086405</v>
      </c>
    </row>
    <row r="118" spans="1:6">
      <c r="A118" s="71" t="s">
        <v>991</v>
      </c>
      <c r="B118" s="115"/>
      <c r="C118" s="115"/>
      <c r="D118" s="115"/>
      <c r="E118" s="115"/>
      <c r="F118" s="115">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W88:X88"/>
    <mergeCell ref="W89:X89"/>
    <mergeCell ref="L43:O43"/>
    <mergeCell ref="D43:G43"/>
    <mergeCell ref="D46:G46"/>
    <mergeCell ref="D32:G32"/>
    <mergeCell ref="D33:G33"/>
    <mergeCell ref="D34:G34"/>
    <mergeCell ref="D40:G40"/>
    <mergeCell ref="W87:X87"/>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1796875" defaultRowHeight="12.5"/>
  <cols>
    <col min="1" max="1" width="12.453125" customWidth="1"/>
    <col min="2" max="2" width="16.81640625" customWidth="1"/>
    <col min="6" max="6" width="14" customWidth="1"/>
    <col min="8" max="8" width="9.54296875" customWidth="1"/>
    <col min="9" max="9" width="15" customWidth="1"/>
    <col min="10" max="10" width="13" customWidth="1"/>
    <col min="11" max="11" width="12" customWidth="1"/>
    <col min="12" max="12" width="13.81640625" bestFit="1" customWidth="1"/>
    <col min="13" max="13" width="10.1796875" bestFit="1" customWidth="1"/>
    <col min="14" max="14" width="14" customWidth="1"/>
    <col min="15" max="15" width="50.54296875" hidden="1" customWidth="1"/>
    <col min="16" max="16" width="42.453125" bestFit="1" customWidth="1"/>
  </cols>
  <sheetData>
    <row r="1" spans="1:17" s="1" customFormat="1" ht="18" customHeight="1">
      <c r="A1" s="12" t="s">
        <v>1005</v>
      </c>
      <c r="B1" s="14"/>
      <c r="C1" s="381"/>
      <c r="D1" s="381"/>
      <c r="E1" s="381"/>
      <c r="F1" s="15"/>
      <c r="G1" s="15"/>
      <c r="H1" s="381"/>
      <c r="I1" s="381"/>
      <c r="J1" s="381"/>
      <c r="K1" s="381"/>
      <c r="L1" s="381"/>
      <c r="M1" s="381"/>
      <c r="N1" s="11"/>
      <c r="O1" s="615" t="s">
        <v>835</v>
      </c>
      <c r="P1" s="617"/>
    </row>
    <row r="2" spans="1:17">
      <c r="A2" t="s">
        <v>1006</v>
      </c>
    </row>
    <row r="3" spans="1:17" ht="20">
      <c r="A3" s="152" t="s">
        <v>206</v>
      </c>
    </row>
    <row r="4" spans="1:17" ht="13">
      <c r="A4" s="3" t="s">
        <v>1007</v>
      </c>
    </row>
    <row r="5" spans="1:17" ht="13">
      <c r="A5" s="8" t="s">
        <v>1008</v>
      </c>
      <c r="Q5" s="115"/>
    </row>
    <row r="6" spans="1:17">
      <c r="A6" s="159" t="s">
        <v>1009</v>
      </c>
      <c r="B6" s="159"/>
      <c r="C6" s="115"/>
      <c r="D6" s="115"/>
      <c r="E6" s="115"/>
      <c r="F6" s="115"/>
      <c r="G6" s="115"/>
      <c r="H6" s="392"/>
      <c r="I6" s="115"/>
      <c r="J6" s="115"/>
      <c r="K6" s="443">
        <v>0</v>
      </c>
      <c r="Q6" s="115"/>
    </row>
    <row r="7" spans="1:17">
      <c r="A7" s="159" t="s">
        <v>893</v>
      </c>
      <c r="B7" s="159"/>
      <c r="C7" s="115"/>
      <c r="D7" s="115"/>
      <c r="E7" s="115"/>
      <c r="F7" s="115"/>
      <c r="G7" s="115"/>
      <c r="H7" s="392"/>
      <c r="I7" s="115"/>
      <c r="J7" s="115"/>
      <c r="K7" s="443">
        <v>0</v>
      </c>
      <c r="Q7" s="115"/>
    </row>
    <row r="8" spans="1:17">
      <c r="A8" s="159" t="s">
        <v>895</v>
      </c>
      <c r="B8" s="159"/>
      <c r="C8" s="115"/>
      <c r="D8" s="115"/>
      <c r="E8" s="115"/>
      <c r="F8" s="115"/>
      <c r="G8" s="115"/>
      <c r="H8" s="392"/>
      <c r="I8" s="115"/>
      <c r="J8" s="115"/>
      <c r="K8" s="432">
        <f>IF(K6=0,0,K6*SH!H14/(K7/100))</f>
        <v>0</v>
      </c>
      <c r="Q8" s="115" t="s">
        <v>206</v>
      </c>
    </row>
    <row r="9" spans="1:17" ht="13">
      <c r="A9" s="3"/>
    </row>
    <row r="10" spans="1:17" ht="13">
      <c r="A10" s="8" t="s">
        <v>1010</v>
      </c>
    </row>
    <row r="11" spans="1:17">
      <c r="A11" s="115" t="s">
        <v>1011</v>
      </c>
      <c r="G11" s="43" t="s">
        <v>245</v>
      </c>
      <c r="H11" s="44">
        <f>VLOOKUP(G11,$A$139:$B$141,2,FALSE)</f>
        <v>1</v>
      </c>
    </row>
    <row r="12" spans="1:17">
      <c r="A12" t="s">
        <v>1012</v>
      </c>
      <c r="G12" s="44"/>
      <c r="H12" s="58">
        <f>IF(H11,1,0.9)</f>
        <v>1</v>
      </c>
    </row>
    <row r="13" spans="1:17">
      <c r="A13" t="s">
        <v>1013</v>
      </c>
      <c r="G13" s="44"/>
      <c r="H13" s="51">
        <f>(1-K6)*ShReqt/H12</f>
        <v>2821.1538299086405</v>
      </c>
    </row>
    <row r="15" spans="1:17" ht="13">
      <c r="A15" s="3" t="s">
        <v>1014</v>
      </c>
    </row>
    <row r="16" spans="1:17">
      <c r="A16" t="s">
        <v>1015</v>
      </c>
      <c r="H16" s="43">
        <v>0</v>
      </c>
    </row>
    <row r="17" spans="1:20">
      <c r="A17" t="s">
        <v>1016</v>
      </c>
      <c r="H17" s="43">
        <v>0</v>
      </c>
      <c r="I17" t="s">
        <v>1017</v>
      </c>
    </row>
    <row r="18" spans="1:20">
      <c r="H18" s="44"/>
      <c r="I18" t="s">
        <v>1018</v>
      </c>
      <c r="P18" s="115" t="s">
        <v>878</v>
      </c>
      <c r="S18" s="115" t="s">
        <v>878</v>
      </c>
    </row>
    <row r="19" spans="1:20" ht="13">
      <c r="A19" s="8" t="s">
        <v>1019</v>
      </c>
      <c r="H19" s="44"/>
      <c r="L19" s="5"/>
      <c r="P19" s="600" t="b">
        <f>IF(OR(A26="Heat Pump",A26="Exhaust Air Heat Pump"),TRUE,FALSE)</f>
        <v>1</v>
      </c>
      <c r="S19" s="600" t="b">
        <f>IF(OR(A27="Heat Pump",A27="Exhaust Air Heat Pump"),TRUE,FALSE)</f>
        <v>1</v>
      </c>
    </row>
    <row r="20" spans="1:20">
      <c r="A20" s="115" t="s">
        <v>1020</v>
      </c>
      <c r="F20" s="44"/>
      <c r="J20" s="58"/>
      <c r="K20" s="44" t="s">
        <v>1021</v>
      </c>
      <c r="L20" s="44" t="s">
        <v>1022</v>
      </c>
      <c r="P20" s="115" t="s">
        <v>881</v>
      </c>
      <c r="Q20" s="115"/>
      <c r="S20" s="115" t="s">
        <v>881</v>
      </c>
      <c r="T20" s="115"/>
    </row>
    <row r="21" spans="1:20">
      <c r="F21" s="44"/>
      <c r="J21" s="35" t="s">
        <v>1023</v>
      </c>
      <c r="K21" s="44" t="s">
        <v>1024</v>
      </c>
      <c r="L21" s="44" t="s">
        <v>1025</v>
      </c>
      <c r="P21" s="115">
        <f>IF(A26="Exhaust Air Heat Pump",Vent!G32,0)</f>
        <v>0</v>
      </c>
      <c r="Q21" s="115" t="s">
        <v>307</v>
      </c>
      <c r="S21" s="115">
        <f>IF(A27="Exhaust Air Heat Pump",Vent!G32,0)</f>
        <v>0</v>
      </c>
      <c r="T21" s="115" t="s">
        <v>307</v>
      </c>
    </row>
    <row r="22" spans="1:20">
      <c r="A22" t="s">
        <v>1026</v>
      </c>
      <c r="C22" t="s">
        <v>187</v>
      </c>
      <c r="H22" s="35" t="s">
        <v>1027</v>
      </c>
      <c r="I22" s="35"/>
      <c r="J22" t="s">
        <v>1028</v>
      </c>
      <c r="K22" s="84" t="s">
        <v>1029</v>
      </c>
      <c r="L22" s="84" t="s">
        <v>1029</v>
      </c>
      <c r="P22" s="115" t="s">
        <v>882</v>
      </c>
      <c r="Q22" s="115"/>
      <c r="S22" s="115" t="s">
        <v>882</v>
      </c>
      <c r="T22" s="115"/>
    </row>
    <row r="23" spans="1:20">
      <c r="H23" t="s">
        <v>885</v>
      </c>
      <c r="J23" t="s">
        <v>885</v>
      </c>
      <c r="K23" t="s">
        <v>776</v>
      </c>
      <c r="L23" t="s">
        <v>914</v>
      </c>
      <c r="P23" s="536">
        <f>IFERROR(IF(OR(A26="Heat Pump",A26="Exhaust Air Heat Pump"),HP!B106*HP!B107*100,H26),0)</f>
        <v>0</v>
      </c>
      <c r="Q23" s="115" t="s">
        <v>885</v>
      </c>
      <c r="R23" s="115"/>
      <c r="S23" s="536">
        <f>IFERROR(IF(OR(A27="Heat Pump",A27="Exhaust Air Heat Pump"),HP!B108*HP!B109*100,H27),0)</f>
        <v>150</v>
      </c>
      <c r="T23" s="115" t="s">
        <v>885</v>
      </c>
    </row>
    <row r="24" spans="1:20">
      <c r="A24" s="374" t="s">
        <v>884</v>
      </c>
      <c r="C24" s="686" t="s">
        <v>918</v>
      </c>
      <c r="D24" s="689"/>
      <c r="E24" s="689"/>
      <c r="F24" s="689"/>
      <c r="H24" s="10">
        <v>0</v>
      </c>
      <c r="I24" s="5"/>
      <c r="J24" s="10">
        <v>0</v>
      </c>
      <c r="K24">
        <f>VLOOKUP($C24,fueldata,5,FALSE)</f>
        <v>1.1000000000000001</v>
      </c>
      <c r="L24">
        <f>VLOOKUP($C24,fueldata,6,FALSE)</f>
        <v>0.20300000000000001</v>
      </c>
      <c r="M24" s="85">
        <f>IF($H24&gt;0,$J24*K24/$H24,0)</f>
        <v>0</v>
      </c>
      <c r="N24" s="85">
        <f t="shared" ref="N24:N25" si="0">IF($H24&gt;0,$J24*L24/$H24,0)</f>
        <v>0</v>
      </c>
      <c r="P24" s="115" t="s">
        <v>887</v>
      </c>
      <c r="Q24" s="115"/>
      <c r="R24" s="115"/>
      <c r="S24" s="115" t="s">
        <v>1030</v>
      </c>
      <c r="T24" s="115"/>
    </row>
    <row r="25" spans="1:20">
      <c r="A25" s="374" t="s">
        <v>884</v>
      </c>
      <c r="C25" s="686" t="s">
        <v>1031</v>
      </c>
      <c r="D25" s="689"/>
      <c r="E25" s="689"/>
      <c r="F25" s="689"/>
      <c r="H25" s="10">
        <v>0</v>
      </c>
      <c r="I25" s="5"/>
      <c r="J25" s="10">
        <v>0</v>
      </c>
      <c r="K25">
        <f>VLOOKUP($C25,fueldata,5,FALSE)</f>
        <v>1.1000000000000001</v>
      </c>
      <c r="L25">
        <f>VLOOKUP($C25,fueldata,6,FALSE)</f>
        <v>2.5000000000000001E-2</v>
      </c>
      <c r="M25" s="85">
        <f>IF($H25&gt;0,$J25*K25/$H25,0)</f>
        <v>0</v>
      </c>
      <c r="N25" s="85">
        <f t="shared" si="0"/>
        <v>0</v>
      </c>
      <c r="P25" s="537">
        <f>IF(A26="Exhaust Air Heat Pump",HP!B111,1)</f>
        <v>1</v>
      </c>
      <c r="Q25" s="115" t="s">
        <v>885</v>
      </c>
      <c r="R25" s="115"/>
      <c r="S25" s="537">
        <f>IF(A27="Exhaust Air Heat Pump",HP!B112,1)</f>
        <v>1</v>
      </c>
      <c r="T25" s="115" t="s">
        <v>885</v>
      </c>
    </row>
    <row r="26" spans="1:20">
      <c r="A26" s="374" t="s">
        <v>963</v>
      </c>
      <c r="C26" s="686" t="s">
        <v>850</v>
      </c>
      <c r="D26" s="689"/>
      <c r="E26" s="689"/>
      <c r="F26" s="689"/>
      <c r="H26" s="182">
        <v>0</v>
      </c>
      <c r="I26" s="5" t="str">
        <f>IF(OR(A26="Heat Pump",A26="Exhaust Air Heat Pump"),"Space Heating","")</f>
        <v>Space Heating</v>
      </c>
      <c r="J26" s="10">
        <v>0</v>
      </c>
      <c r="K26">
        <f>VLOOKUP($C26,fueldata,5,FALSE)</f>
        <v>1.75</v>
      </c>
      <c r="L26">
        <f>VLOOKUP($C26,fueldata,6,FALSE)</f>
        <v>0.224</v>
      </c>
      <c r="M26" s="85">
        <f>IF(J26&gt;0,IF(OR(A26="Heat Pump",A26="Exhaust Air Heat Pump"),$J26*K26/$P$23,$J26*K26/H26),0)</f>
        <v>0</v>
      </c>
      <c r="N26" s="85">
        <f>IFERROR(IF(L26&gt;0,IF(OR(A26="Heat Pump",A26="Exhaust Air Heat Pump"),$J26*L26/$P$23,$J26*L26/H26),0),0)</f>
        <v>0</v>
      </c>
      <c r="P26" s="115" t="s">
        <v>891</v>
      </c>
      <c r="Q26" s="115"/>
      <c r="R26" s="115"/>
      <c r="S26" s="115" t="s">
        <v>900</v>
      </c>
      <c r="T26" s="115"/>
    </row>
    <row r="27" spans="1:20">
      <c r="A27" s="374" t="s">
        <v>963</v>
      </c>
      <c r="C27" s="686" t="s">
        <v>850</v>
      </c>
      <c r="D27" s="689"/>
      <c r="E27" s="689"/>
      <c r="F27" s="689"/>
      <c r="H27" s="182">
        <v>0</v>
      </c>
      <c r="I27" s="5" t="str">
        <f>IF(OR(A27="Heat Pump",A27="Exhaust Air Heat Pump"),"Water Heating","")</f>
        <v>Water Heating</v>
      </c>
      <c r="J27" s="10">
        <v>0</v>
      </c>
      <c r="K27">
        <f>VLOOKUP($C27,fueldata,5,FALSE)</f>
        <v>1.75</v>
      </c>
      <c r="L27">
        <f>VLOOKUP($C27,fueldata,6,FALSE)</f>
        <v>0.224</v>
      </c>
      <c r="M27" s="85">
        <f>IF(J27&gt;0,IF(OR(A27="Heat Pump",A27="Exhaust Air Heat Pump"),$J27*K27/$S$23,$J27*K27/H27),0)</f>
        <v>0</v>
      </c>
      <c r="N27" s="85">
        <f>IFERROR(IF(L27&gt;0,IF(OR(A27="Heat Pump",A27="Exhaust Air Heat Pump"),$J27*L27/$S$23,$J27*L27/H27),0),0)</f>
        <v>0</v>
      </c>
      <c r="P27" s="539">
        <f>IF(A26="Other",0,(1-H17)*(H13+WhReqt/H12)*J26/100)</f>
        <v>0</v>
      </c>
      <c r="Q27" s="115" t="s">
        <v>562</v>
      </c>
      <c r="R27" s="115"/>
      <c r="S27" s="538">
        <f>IF(A27="Other",0,(1-H17)*(H13+WhReqt/H12)*J27/100)</f>
        <v>0</v>
      </c>
      <c r="T27" s="115" t="s">
        <v>562</v>
      </c>
    </row>
    <row r="28" spans="1:20">
      <c r="A28" t="s">
        <v>1032</v>
      </c>
      <c r="J28" s="10"/>
      <c r="L28" s="85"/>
      <c r="R28" s="115"/>
    </row>
    <row r="29" spans="1:20">
      <c r="A29" s="115"/>
      <c r="F29" s="44"/>
      <c r="I29" s="33" t="s">
        <v>1033</v>
      </c>
      <c r="J29" s="4">
        <f>SUM(J24:J28)</f>
        <v>0</v>
      </c>
      <c r="K29" t="str">
        <f>IF(OR(J29=100,J29=0),"OK","Should add up to 100%")</f>
        <v>OK</v>
      </c>
      <c r="P29" s="115"/>
      <c r="Q29" s="115"/>
      <c r="R29" s="115"/>
    </row>
    <row r="30" spans="1:20" ht="13">
      <c r="A30" t="s">
        <v>1034</v>
      </c>
      <c r="K30" s="86">
        <f>SUM(M24:M27)*$H16</f>
        <v>0</v>
      </c>
      <c r="L30" s="86">
        <f>SUM(N24:N27)*$H16</f>
        <v>0</v>
      </c>
      <c r="P30" s="115"/>
      <c r="Q30" s="115"/>
      <c r="R30" s="375"/>
    </row>
    <row r="31" spans="1:20" ht="13">
      <c r="A31" s="8" t="s">
        <v>1035</v>
      </c>
      <c r="L31" s="5"/>
      <c r="P31" s="115"/>
      <c r="Q31" s="115"/>
      <c r="R31" s="375"/>
    </row>
    <row r="32" spans="1:20">
      <c r="A32" s="115" t="s">
        <v>1036</v>
      </c>
      <c r="L32" s="5"/>
      <c r="P32" s="115"/>
      <c r="Q32" s="115"/>
      <c r="R32" s="115"/>
    </row>
    <row r="33" spans="1:18">
      <c r="A33" t="s">
        <v>832</v>
      </c>
      <c r="G33" s="686" t="s">
        <v>1037</v>
      </c>
      <c r="H33" s="686"/>
      <c r="I33" s="686"/>
      <c r="J33">
        <f>VLOOKUP(G33,A144:D146,4,FALSE)</f>
        <v>2</v>
      </c>
      <c r="K33" t="s">
        <v>1038</v>
      </c>
      <c r="R33" s="115"/>
    </row>
    <row r="34" spans="1:18">
      <c r="A34" t="s">
        <v>1039</v>
      </c>
      <c r="R34" s="115"/>
    </row>
    <row r="35" spans="1:18">
      <c r="B35" s="159" t="s">
        <v>1040</v>
      </c>
      <c r="C35" s="159"/>
      <c r="D35" s="159"/>
      <c r="E35" s="159"/>
      <c r="L35" s="43">
        <v>0</v>
      </c>
      <c r="N35" s="115"/>
      <c r="R35" s="115"/>
    </row>
    <row r="36" spans="1:18" ht="14.5">
      <c r="B36" s="159" t="s">
        <v>1041</v>
      </c>
      <c r="C36" s="159"/>
      <c r="D36" s="159"/>
      <c r="E36" s="159"/>
      <c r="L36" s="43">
        <v>0</v>
      </c>
      <c r="O36" s="618"/>
      <c r="P36" s="619"/>
      <c r="R36" s="115"/>
    </row>
    <row r="37" spans="1:18">
      <c r="B37" t="s">
        <v>1042</v>
      </c>
      <c r="G37" s="686" t="s">
        <v>918</v>
      </c>
      <c r="H37" s="686"/>
      <c r="I37" s="686"/>
      <c r="J37" s="686"/>
      <c r="L37" s="44"/>
      <c r="R37" s="115"/>
    </row>
    <row r="38" spans="1:18" ht="25">
      <c r="B38" s="159"/>
      <c r="C38" s="159"/>
      <c r="D38" s="159"/>
      <c r="E38" s="159"/>
      <c r="K38" s="62" t="s">
        <v>1043</v>
      </c>
      <c r="L38" s="62" t="s">
        <v>913</v>
      </c>
      <c r="R38" s="115"/>
    </row>
    <row r="39" spans="1:18">
      <c r="B39" s="159"/>
      <c r="C39" s="159"/>
      <c r="D39" s="159"/>
      <c r="E39" s="159"/>
      <c r="K39" s="44" t="s">
        <v>776</v>
      </c>
      <c r="L39" s="44" t="s">
        <v>914</v>
      </c>
    </row>
    <row r="40" spans="1:18">
      <c r="B40" s="159" t="s">
        <v>1044</v>
      </c>
      <c r="C40" s="159"/>
      <c r="D40" s="159"/>
      <c r="E40" s="159"/>
      <c r="K40" s="58">
        <f>VLOOKUP($G$37,fueldata,5,FALSE)</f>
        <v>1.1000000000000001</v>
      </c>
      <c r="L40" s="50">
        <f>VLOOKUP($G$37,fueldata,6,FALSE)</f>
        <v>0.20300000000000001</v>
      </c>
    </row>
    <row r="41" spans="1:18">
      <c r="B41" s="159" t="s">
        <v>1045</v>
      </c>
      <c r="C41" s="159"/>
      <c r="D41" s="159"/>
      <c r="E41" s="159"/>
      <c r="K41" s="63">
        <f>Fuel!G19</f>
        <v>1.75</v>
      </c>
      <c r="L41" s="64">
        <f>Fuel!H19</f>
        <v>0.224</v>
      </c>
    </row>
    <row r="42" spans="1:18">
      <c r="B42" s="159" t="s">
        <v>1046</v>
      </c>
      <c r="C42" s="159"/>
      <c r="D42" s="159"/>
      <c r="E42" s="159"/>
      <c r="K42" s="58">
        <f>IF(L36=0,0,(K40-$L$35*K41)/$L$36)</f>
        <v>0</v>
      </c>
      <c r="L42" s="50">
        <f>IF(L36=0,0,(L40-$L$35*L41)/$L$36)</f>
        <v>0</v>
      </c>
    </row>
    <row r="43" spans="1:18" ht="65.25" customHeight="1">
      <c r="A43" t="s">
        <v>1047</v>
      </c>
      <c r="B43" s="159"/>
      <c r="C43" s="159"/>
      <c r="D43" s="159"/>
      <c r="J43" s="174" t="s">
        <v>1048</v>
      </c>
      <c r="K43" s="174" t="s">
        <v>1049</v>
      </c>
      <c r="L43" s="62" t="s">
        <v>913</v>
      </c>
    </row>
    <row r="44" spans="1:18">
      <c r="B44" s="159" t="s">
        <v>1050</v>
      </c>
      <c r="C44" s="159"/>
      <c r="D44" s="159"/>
      <c r="J44" s="204">
        <v>0</v>
      </c>
      <c r="K44" s="204">
        <v>0</v>
      </c>
      <c r="L44" s="204">
        <v>0</v>
      </c>
    </row>
    <row r="45" spans="1:18">
      <c r="A45" t="s">
        <v>326</v>
      </c>
      <c r="B45" s="159"/>
      <c r="C45" s="159"/>
      <c r="D45" s="159"/>
      <c r="K45" s="44"/>
      <c r="L45" s="50"/>
    </row>
    <row r="46" spans="1:18" ht="13">
      <c r="A46" s="159" t="s">
        <v>1051</v>
      </c>
      <c r="C46" s="32"/>
      <c r="D46" s="32"/>
      <c r="E46" s="32"/>
      <c r="K46" s="58">
        <f>CHOOSE($J$33,K42,(J44+K44))*$H$16</f>
        <v>0</v>
      </c>
      <c r="L46" s="50">
        <f>CHOOSE($J$33,L42,L44)*$H$16</f>
        <v>0</v>
      </c>
    </row>
    <row r="47" spans="1:18">
      <c r="K47" s="44"/>
      <c r="L47" s="44"/>
    </row>
    <row r="48" spans="1:18">
      <c r="A48" s="159" t="s">
        <v>1052</v>
      </c>
      <c r="K48" s="65">
        <f>$H$17*K46+(1-$H$17)*K30</f>
        <v>0</v>
      </c>
      <c r="L48" s="66">
        <f>$H$17*L46+(1-$H$17)*L30</f>
        <v>0</v>
      </c>
    </row>
    <row r="49" spans="1:16" ht="13">
      <c r="B49" s="159"/>
      <c r="C49" s="32"/>
      <c r="D49" s="32"/>
      <c r="E49" s="32"/>
      <c r="K49" s="44"/>
      <c r="L49" s="44"/>
    </row>
    <row r="50" spans="1:16" ht="13">
      <c r="A50" s="3" t="s">
        <v>1053</v>
      </c>
      <c r="H50" s="109">
        <f>Vent!G47 + 0.01*(E76+E78)+WH!F34</f>
        <v>53.097642798099116</v>
      </c>
      <c r="K50" s="44"/>
      <c r="L50" s="44"/>
    </row>
    <row r="51" spans="1:16" ht="13">
      <c r="B51" s="159"/>
      <c r="C51" s="32"/>
      <c r="D51" s="32"/>
      <c r="E51" s="32"/>
    </row>
    <row r="52" spans="1:16" ht="13">
      <c r="A52" s="3" t="s">
        <v>911</v>
      </c>
      <c r="B52" s="115"/>
      <c r="C52" s="115"/>
      <c r="D52" s="115"/>
      <c r="E52" s="115"/>
      <c r="F52" s="392"/>
      <c r="G52" s="115"/>
      <c r="H52" s="115"/>
      <c r="I52" s="115"/>
      <c r="J52" s="115"/>
      <c r="K52" s="115"/>
    </row>
    <row r="53" spans="1:16" ht="46">
      <c r="A53" s="115"/>
      <c r="B53" s="115"/>
      <c r="D53" t="s">
        <v>187</v>
      </c>
      <c r="H53" s="62" t="s">
        <v>912</v>
      </c>
      <c r="I53" s="62" t="s">
        <v>913</v>
      </c>
      <c r="J53" s="62"/>
      <c r="K53" s="62"/>
      <c r="L53" s="115"/>
      <c r="M53" s="115"/>
    </row>
    <row r="54" spans="1:16">
      <c r="A54" s="115"/>
      <c r="B54" s="115"/>
      <c r="H54" s="386" t="s">
        <v>776</v>
      </c>
      <c r="I54" s="386" t="s">
        <v>914</v>
      </c>
      <c r="J54" s="386"/>
      <c r="K54" s="386"/>
      <c r="L54" s="115"/>
      <c r="M54" s="115"/>
    </row>
    <row r="55" spans="1:16">
      <c r="A55" s="115" t="s">
        <v>917</v>
      </c>
      <c r="B55" s="115"/>
      <c r="D55" t="s">
        <v>1054</v>
      </c>
      <c r="H55" s="389">
        <f>K48</f>
        <v>0</v>
      </c>
      <c r="I55" s="465">
        <f>L48</f>
        <v>0</v>
      </c>
      <c r="J55" s="389"/>
      <c r="K55" s="433"/>
      <c r="M55" s="115"/>
    </row>
    <row r="56" spans="1:16">
      <c r="A56" s="115" t="s">
        <v>919</v>
      </c>
      <c r="B56" s="115"/>
      <c r="D56" s="701" t="s">
        <v>250</v>
      </c>
      <c r="E56" s="701"/>
      <c r="F56" s="701"/>
      <c r="G56" s="701"/>
      <c r="H56" s="389">
        <f>VLOOKUP($D56,fueldata,5,FALSE)</f>
        <v>0</v>
      </c>
      <c r="I56" s="465">
        <f>VLOOKUP($D56,fueldata,6,FALSE)</f>
        <v>0</v>
      </c>
      <c r="J56" s="389"/>
      <c r="K56" s="433"/>
      <c r="L56" s="115"/>
      <c r="M56" s="115"/>
    </row>
    <row r="57" spans="1:16">
      <c r="A57" s="115" t="s">
        <v>1055</v>
      </c>
      <c r="B57" s="115"/>
      <c r="D57" t="s">
        <v>1054</v>
      </c>
      <c r="H57" s="389">
        <f>H55</f>
        <v>0</v>
      </c>
      <c r="I57" s="465">
        <f>I55</f>
        <v>0</v>
      </c>
      <c r="J57" s="389"/>
      <c r="K57" s="433"/>
      <c r="L57" s="115"/>
      <c r="M57" s="115"/>
    </row>
    <row r="58" spans="1:16">
      <c r="A58" s="115" t="s">
        <v>921</v>
      </c>
      <c r="B58" s="115"/>
      <c r="D58" s="115" t="s">
        <v>1056</v>
      </c>
      <c r="E58" s="115"/>
      <c r="F58" s="115"/>
      <c r="G58" s="115"/>
      <c r="H58" s="474">
        <v>0</v>
      </c>
      <c r="I58" s="474">
        <v>0</v>
      </c>
      <c r="J58" s="386"/>
      <c r="K58" s="386"/>
      <c r="L58" s="115"/>
      <c r="M58" s="115"/>
    </row>
    <row r="59" spans="1:16" ht="14.5">
      <c r="A59" s="115" t="s">
        <v>28</v>
      </c>
      <c r="B59" s="115"/>
      <c r="D59" s="449" t="str">
        <f>Cooling!H7</f>
        <v>electricity</v>
      </c>
      <c r="E59" s="449"/>
      <c r="F59" s="449"/>
      <c r="G59" s="449"/>
      <c r="H59" s="389">
        <f>VLOOKUP($D59,fueldata,5,FALSE)</f>
        <v>1.75</v>
      </c>
      <c r="I59" s="465">
        <f>VLOOKUP($D59,fueldata,6,FALSE)</f>
        <v>0.224</v>
      </c>
      <c r="J59" s="386"/>
      <c r="K59" s="386"/>
      <c r="L59" s="115"/>
      <c r="M59" s="115"/>
      <c r="O59" s="620" t="s">
        <v>947</v>
      </c>
      <c r="P59" s="619"/>
    </row>
    <row r="60" spans="1:16">
      <c r="A60" s="115" t="s">
        <v>923</v>
      </c>
      <c r="B60" s="115"/>
      <c r="H60" s="453">
        <f>Fuel!G18</f>
        <v>1.75</v>
      </c>
      <c r="I60" s="475">
        <f>Fuel!H18</f>
        <v>0.224</v>
      </c>
      <c r="J60" s="389"/>
      <c r="K60" s="433"/>
      <c r="L60" s="115"/>
      <c r="M60" s="115"/>
    </row>
    <row r="61" spans="1:16">
      <c r="A61" s="115" t="s">
        <v>924</v>
      </c>
      <c r="B61" s="115"/>
      <c r="H61" s="453">
        <f>Fuel!G18</f>
        <v>1.75</v>
      </c>
      <c r="I61" s="475">
        <f>Fuel!H18</f>
        <v>0.224</v>
      </c>
      <c r="J61" s="389"/>
      <c r="K61" s="433"/>
      <c r="L61" s="115"/>
      <c r="M61" s="115"/>
    </row>
    <row r="62" spans="1:16">
      <c r="A62" s="115" t="s">
        <v>925</v>
      </c>
      <c r="B62" s="115"/>
      <c r="H62" s="389"/>
      <c r="I62" s="389"/>
      <c r="J62" s="389"/>
      <c r="K62" s="69"/>
    </row>
    <row r="63" spans="1:16">
      <c r="A63" s="115" t="s">
        <v>927</v>
      </c>
      <c r="B63" s="115" t="s">
        <v>16</v>
      </c>
      <c r="C63" s="115"/>
      <c r="D63" s="701"/>
      <c r="E63" s="689"/>
      <c r="F63" s="689"/>
      <c r="G63" s="689"/>
      <c r="H63" s="389"/>
      <c r="I63" s="389"/>
      <c r="J63" s="389"/>
      <c r="K63" s="69"/>
    </row>
    <row r="64" spans="1:16">
      <c r="A64" s="115"/>
      <c r="B64" s="115" t="s">
        <v>928</v>
      </c>
      <c r="C64" s="115"/>
      <c r="D64" s="115"/>
      <c r="E64" s="115"/>
      <c r="F64" s="115"/>
      <c r="G64" s="115"/>
      <c r="H64" s="443"/>
      <c r="I64" s="443"/>
      <c r="J64" s="389"/>
    </row>
    <row r="65" spans="1:16">
      <c r="A65" s="115"/>
      <c r="B65" s="115" t="s">
        <v>930</v>
      </c>
      <c r="C65" s="115"/>
      <c r="D65" s="115"/>
      <c r="E65" s="115"/>
      <c r="F65" s="115"/>
      <c r="G65" s="115"/>
      <c r="H65" s="443"/>
      <c r="I65" s="443"/>
      <c r="J65" s="389"/>
    </row>
    <row r="66" spans="1:16">
      <c r="A66" s="115" t="s">
        <v>932</v>
      </c>
      <c r="B66" s="115" t="s">
        <v>16</v>
      </c>
      <c r="C66" s="115"/>
      <c r="D66" s="701"/>
      <c r="E66" s="689"/>
      <c r="F66" s="689"/>
      <c r="G66" s="689"/>
      <c r="H66" s="386"/>
      <c r="I66" s="386"/>
      <c r="J66" s="389"/>
    </row>
    <row r="67" spans="1:16">
      <c r="A67" s="115"/>
      <c r="B67" s="115" t="s">
        <v>928</v>
      </c>
      <c r="C67" s="115"/>
      <c r="D67" s="115"/>
      <c r="E67" s="115"/>
      <c r="F67" s="115"/>
      <c r="G67" s="115"/>
      <c r="H67" s="443"/>
      <c r="I67" s="443"/>
      <c r="J67" s="389"/>
    </row>
    <row r="68" spans="1:16">
      <c r="A68" s="115"/>
      <c r="B68" s="115" t="s">
        <v>930</v>
      </c>
      <c r="C68" s="115"/>
      <c r="D68" s="115"/>
      <c r="E68" s="115"/>
      <c r="F68" s="115"/>
      <c r="G68" s="115"/>
      <c r="H68" s="443"/>
      <c r="I68" s="443"/>
      <c r="J68" s="389"/>
    </row>
    <row r="69" spans="1:16">
      <c r="A69" s="115" t="s">
        <v>936</v>
      </c>
      <c r="B69" s="115" t="s">
        <v>16</v>
      </c>
      <c r="C69" s="115"/>
      <c r="D69" s="701"/>
      <c r="E69" s="689"/>
      <c r="F69" s="689"/>
      <c r="G69" s="689"/>
      <c r="H69" s="386"/>
      <c r="I69" s="386"/>
      <c r="J69" s="389"/>
    </row>
    <row r="70" spans="1:16">
      <c r="A70" s="115"/>
      <c r="B70" s="115" t="s">
        <v>928</v>
      </c>
      <c r="C70" s="115"/>
      <c r="D70" s="115"/>
      <c r="E70" s="115"/>
      <c r="F70" s="115"/>
      <c r="G70" s="115"/>
      <c r="H70" s="476"/>
      <c r="I70" s="476"/>
      <c r="J70" s="389"/>
    </row>
    <row r="71" spans="1:16">
      <c r="A71" s="115"/>
      <c r="B71" s="115" t="s">
        <v>930</v>
      </c>
      <c r="C71" s="115"/>
      <c r="D71" s="115"/>
      <c r="E71" s="115"/>
      <c r="F71" s="115"/>
      <c r="G71" s="115"/>
      <c r="H71" s="443"/>
      <c r="I71" s="443"/>
      <c r="J71" s="389"/>
    </row>
    <row r="72" spans="1:16">
      <c r="A72" s="115"/>
      <c r="B72" s="115"/>
      <c r="C72" s="115"/>
      <c r="D72" s="115"/>
      <c r="E72" s="115"/>
      <c r="F72" s="392"/>
      <c r="G72" s="115"/>
      <c r="H72" s="115"/>
      <c r="I72" s="115"/>
      <c r="J72" s="115"/>
      <c r="K72" s="115"/>
    </row>
    <row r="73" spans="1:16" ht="13">
      <c r="A73" s="3" t="s">
        <v>939</v>
      </c>
      <c r="B73" s="115"/>
      <c r="C73" s="115"/>
      <c r="D73" s="115"/>
      <c r="E73" s="115"/>
      <c r="F73" s="392"/>
      <c r="G73" s="115"/>
      <c r="H73" s="115"/>
      <c r="I73" s="115"/>
      <c r="J73" s="115"/>
      <c r="K73" s="115"/>
    </row>
    <row r="74" spans="1:16" ht="25">
      <c r="A74" s="115"/>
      <c r="B74" s="115"/>
      <c r="E74" s="62" t="s">
        <v>940</v>
      </c>
      <c r="F74" s="62" t="s">
        <v>941</v>
      </c>
      <c r="G74" s="62" t="s">
        <v>942</v>
      </c>
      <c r="H74" s="62"/>
      <c r="J74" s="115"/>
      <c r="K74" s="115"/>
    </row>
    <row r="75" spans="1:16">
      <c r="A75" s="115"/>
      <c r="B75" s="115"/>
      <c r="E75" s="386" t="s">
        <v>811</v>
      </c>
      <c r="F75" s="386" t="s">
        <v>811</v>
      </c>
      <c r="G75" s="386" t="s">
        <v>943</v>
      </c>
      <c r="H75" s="386"/>
      <c r="J75" s="115"/>
      <c r="K75" s="115"/>
    </row>
    <row r="76" spans="1:16">
      <c r="A76" s="115" t="s">
        <v>917</v>
      </c>
      <c r="B76" s="115"/>
      <c r="E76" s="432">
        <f>H13</f>
        <v>2821.1538299086405</v>
      </c>
      <c r="F76" s="470">
        <f t="shared" ref="F76:F82" si="1">E76*H55</f>
        <v>0</v>
      </c>
      <c r="G76" s="432">
        <f t="shared" ref="G76:G82" si="2">E76*I55</f>
        <v>0</v>
      </c>
      <c r="H76" s="433"/>
      <c r="J76" s="115"/>
      <c r="K76" s="115"/>
    </row>
    <row r="77" spans="1:16">
      <c r="A77" s="115" t="s">
        <v>919</v>
      </c>
      <c r="B77" s="115"/>
      <c r="E77" s="432">
        <f>K8</f>
        <v>0</v>
      </c>
      <c r="F77" s="470">
        <f t="shared" si="1"/>
        <v>0</v>
      </c>
      <c r="G77" s="432">
        <f t="shared" si="2"/>
        <v>0</v>
      </c>
      <c r="H77" s="433"/>
      <c r="J77" s="115"/>
      <c r="K77" s="115"/>
    </row>
    <row r="78" spans="1:16">
      <c r="A78" s="115" t="s">
        <v>920</v>
      </c>
      <c r="B78" s="115"/>
      <c r="E78" s="470">
        <f>WhReqt/H12</f>
        <v>2488.6104499012713</v>
      </c>
      <c r="F78" s="470">
        <f t="shared" si="1"/>
        <v>0</v>
      </c>
      <c r="G78" s="432">
        <f t="shared" si="2"/>
        <v>0</v>
      </c>
      <c r="H78" s="433"/>
      <c r="J78" s="115"/>
      <c r="K78" s="115"/>
    </row>
    <row r="79" spans="1:16">
      <c r="A79" s="115" t="s">
        <v>921</v>
      </c>
      <c r="B79" s="115"/>
      <c r="E79" s="470">
        <f>IF(WhReqtSup=0,0,NA())</f>
        <v>0</v>
      </c>
      <c r="F79" s="470">
        <f t="shared" si="1"/>
        <v>0</v>
      </c>
      <c r="G79" s="432">
        <f t="shared" si="2"/>
        <v>0</v>
      </c>
      <c r="H79" s="433"/>
      <c r="J79" s="115"/>
      <c r="K79" s="115"/>
    </row>
    <row r="80" spans="1:16" ht="14.5">
      <c r="A80" s="115" t="s">
        <v>28</v>
      </c>
      <c r="B80" s="115"/>
      <c r="E80" s="470">
        <f>Cooling!O25</f>
        <v>0</v>
      </c>
      <c r="F80" s="470">
        <f>E80*H59</f>
        <v>0</v>
      </c>
      <c r="G80" s="432">
        <f t="shared" si="2"/>
        <v>0</v>
      </c>
      <c r="H80" s="433"/>
      <c r="J80" s="115"/>
      <c r="K80" s="115"/>
      <c r="O80" s="620" t="s">
        <v>947</v>
      </c>
      <c r="P80" s="619"/>
    </row>
    <row r="81" spans="1:11">
      <c r="A81" s="115" t="s">
        <v>948</v>
      </c>
      <c r="B81" s="115"/>
      <c r="E81" s="470">
        <f>H50</f>
        <v>53.097642798099116</v>
      </c>
      <c r="F81" s="470">
        <f t="shared" si="1"/>
        <v>92.920874896673453</v>
      </c>
      <c r="G81" s="432">
        <f t="shared" si="2"/>
        <v>11.893871986774203</v>
      </c>
      <c r="H81" s="433"/>
      <c r="J81" s="115"/>
      <c r="K81" s="115"/>
    </row>
    <row r="82" spans="1:11">
      <c r="A82" s="115" t="s">
        <v>924</v>
      </c>
      <c r="B82" s="115"/>
      <c r="E82" s="470">
        <f>Light!G56</f>
        <v>246.51445106940128</v>
      </c>
      <c r="F82" s="470">
        <f t="shared" si="1"/>
        <v>431.40028937145223</v>
      </c>
      <c r="G82" s="432">
        <f t="shared" si="2"/>
        <v>55.219237039545888</v>
      </c>
      <c r="H82" s="433"/>
      <c r="J82" s="115"/>
      <c r="K82" s="115"/>
    </row>
    <row r="83" spans="1:11">
      <c r="A83" s="115" t="s">
        <v>951</v>
      </c>
      <c r="B83" s="115"/>
      <c r="E83" s="471">
        <v>0</v>
      </c>
      <c r="F83" s="470">
        <f>E83*H61</f>
        <v>0</v>
      </c>
      <c r="G83" s="432">
        <f>E83*I61</f>
        <v>0</v>
      </c>
      <c r="H83" s="433"/>
      <c r="J83" s="115"/>
      <c r="K83" s="115"/>
    </row>
    <row r="84" spans="1:11">
      <c r="A84" s="115" t="s">
        <v>927</v>
      </c>
      <c r="B84" s="115" t="s">
        <v>953</v>
      </c>
      <c r="E84" s="472"/>
      <c r="F84" s="470">
        <f>$E84*H64</f>
        <v>0</v>
      </c>
      <c r="G84" s="477">
        <f>$E84*I64</f>
        <v>0</v>
      </c>
      <c r="H84" s="433"/>
      <c r="J84" s="115"/>
      <c r="K84" s="115"/>
    </row>
    <row r="85" spans="1:11">
      <c r="A85" s="115"/>
      <c r="B85" s="115" t="s">
        <v>954</v>
      </c>
      <c r="E85" s="472"/>
      <c r="F85" s="470">
        <f>$E85*H65</f>
        <v>0</v>
      </c>
      <c r="G85" s="477">
        <f>$E85*I65</f>
        <v>0</v>
      </c>
      <c r="H85" s="433"/>
      <c r="J85" s="115"/>
      <c r="K85" s="115"/>
    </row>
    <row r="86" spans="1:11">
      <c r="A86" s="115"/>
      <c r="B86" s="115"/>
      <c r="E86" s="478"/>
      <c r="F86" s="478"/>
      <c r="G86" s="479"/>
      <c r="H86" s="433"/>
      <c r="J86" s="115"/>
      <c r="K86" s="115"/>
    </row>
    <row r="87" spans="1:11">
      <c r="A87" s="115" t="s">
        <v>932</v>
      </c>
      <c r="B87" s="115" t="s">
        <v>953</v>
      </c>
      <c r="E87" s="472"/>
      <c r="F87" s="470">
        <f>$E87*H67</f>
        <v>0</v>
      </c>
      <c r="G87" s="477">
        <f>$E87*I67</f>
        <v>0</v>
      </c>
      <c r="H87" s="433"/>
      <c r="J87" s="115"/>
      <c r="K87" s="115"/>
    </row>
    <row r="88" spans="1:11">
      <c r="A88" s="115"/>
      <c r="B88" s="115" t="s">
        <v>954</v>
      </c>
      <c r="E88" s="472"/>
      <c r="F88" s="470">
        <f>$E88*H68</f>
        <v>0</v>
      </c>
      <c r="G88" s="477">
        <f>$E88*I68</f>
        <v>0</v>
      </c>
      <c r="H88" s="433"/>
      <c r="J88" s="115"/>
      <c r="K88" s="115"/>
    </row>
    <row r="89" spans="1:11">
      <c r="A89" s="115"/>
      <c r="B89" s="115"/>
      <c r="E89" s="478"/>
      <c r="F89" s="478"/>
      <c r="G89" s="479"/>
      <c r="H89" s="433"/>
      <c r="J89" s="115"/>
      <c r="K89" s="115"/>
    </row>
    <row r="90" spans="1:11">
      <c r="A90" s="115" t="s">
        <v>936</v>
      </c>
      <c r="B90" s="115" t="s">
        <v>953</v>
      </c>
      <c r="E90" s="472"/>
      <c r="F90" s="470">
        <f>$E90*H70</f>
        <v>0</v>
      </c>
      <c r="G90" s="477">
        <f>$E90*I70</f>
        <v>0</v>
      </c>
      <c r="H90" s="433"/>
      <c r="J90" s="115"/>
      <c r="K90" s="115"/>
    </row>
    <row r="91" spans="1:11">
      <c r="A91" s="115"/>
      <c r="B91" s="115" t="s">
        <v>954</v>
      </c>
      <c r="E91" s="472"/>
      <c r="F91" s="470">
        <f>$E91*H71</f>
        <v>0</v>
      </c>
      <c r="G91" s="477">
        <f>$E91*I71</f>
        <v>0</v>
      </c>
      <c r="H91" s="433"/>
      <c r="J91" s="115"/>
      <c r="K91" s="115"/>
    </row>
    <row r="92" spans="1:11" ht="13">
      <c r="B92" s="159"/>
      <c r="C92" s="32"/>
      <c r="D92" s="32"/>
      <c r="E92" s="32"/>
    </row>
    <row r="93" spans="1:11" ht="13">
      <c r="B93" s="159"/>
      <c r="C93" s="32"/>
      <c r="D93" s="32"/>
      <c r="E93" s="32"/>
    </row>
    <row r="94" spans="1:11" ht="13">
      <c r="A94" s="71" t="s">
        <v>962</v>
      </c>
      <c r="B94" s="159"/>
      <c r="C94" s="32"/>
      <c r="D94" s="32"/>
      <c r="E94" s="32"/>
    </row>
    <row r="95" spans="1:11" ht="13">
      <c r="A95" s="71"/>
      <c r="B95" s="159"/>
      <c r="C95" s="32"/>
      <c r="D95" s="32"/>
      <c r="E95" s="32"/>
    </row>
    <row r="96" spans="1:11" ht="13">
      <c r="A96" s="71" t="s">
        <v>1057</v>
      </c>
      <c r="B96" s="159"/>
      <c r="C96" s="32"/>
      <c r="D96" s="32"/>
      <c r="E96" s="32"/>
      <c r="F96" s="4">
        <f>(E76+E78)*H16*(1-H17)</f>
        <v>0</v>
      </c>
    </row>
    <row r="97" spans="1:30" ht="13">
      <c r="A97" s="167" t="s">
        <v>1058</v>
      </c>
      <c r="B97" s="159"/>
      <c r="C97" s="32"/>
      <c r="D97" s="32"/>
      <c r="E97" s="32"/>
      <c r="F97" s="4">
        <f>IF(J33=1,(E76+E78)*(H17),0)</f>
        <v>0</v>
      </c>
      <c r="H97" s="4"/>
    </row>
    <row r="98" spans="1:30">
      <c r="A98" s="167" t="s">
        <v>1059</v>
      </c>
      <c r="F98" s="4">
        <f>IF(J33=2,(E76+E78)*(H17),0)</f>
        <v>0</v>
      </c>
      <c r="I98" s="115"/>
    </row>
    <row r="99" spans="1:30">
      <c r="A99" s="167" t="s">
        <v>1060</v>
      </c>
      <c r="I99" s="115"/>
    </row>
    <row r="100" spans="1:30" ht="13">
      <c r="B100" s="159"/>
      <c r="C100" s="32"/>
      <c r="D100" s="32"/>
      <c r="E100" s="32"/>
    </row>
    <row r="101" spans="1:30" ht="13">
      <c r="A101" s="18" t="s">
        <v>955</v>
      </c>
      <c r="B101" s="70"/>
      <c r="C101" s="70"/>
      <c r="D101" s="70"/>
      <c r="E101" s="70"/>
      <c r="F101" s="70"/>
      <c r="G101" s="70"/>
      <c r="H101" s="70"/>
      <c r="I101" s="70"/>
      <c r="J101" s="70"/>
      <c r="K101" s="70"/>
      <c r="L101" s="70"/>
      <c r="M101" s="70"/>
      <c r="N101" s="74"/>
      <c r="Q101" s="18" t="s">
        <v>1061</v>
      </c>
      <c r="R101" s="501"/>
      <c r="S101" s="502"/>
      <c r="T101" s="502"/>
      <c r="U101" s="502"/>
      <c r="V101" s="70"/>
      <c r="W101" s="70"/>
      <c r="X101" s="70"/>
      <c r="Y101" s="70"/>
      <c r="Z101" s="70"/>
      <c r="AA101" s="70"/>
      <c r="AB101" s="70"/>
      <c r="AC101" s="70"/>
      <c r="AD101" s="74"/>
    </row>
    <row r="102" spans="1:30" ht="34.5">
      <c r="A102" s="163"/>
      <c r="B102" s="115"/>
      <c r="C102" s="62" t="s">
        <v>957</v>
      </c>
      <c r="D102" s="62" t="s">
        <v>958</v>
      </c>
      <c r="E102" s="62" t="s">
        <v>959</v>
      </c>
      <c r="F102" s="62" t="s">
        <v>960</v>
      </c>
      <c r="G102" s="62" t="s">
        <v>961</v>
      </c>
      <c r="H102" s="111"/>
      <c r="I102" s="111"/>
      <c r="J102" s="110"/>
      <c r="K102" s="111"/>
      <c r="L102" s="186"/>
      <c r="M102" s="110"/>
      <c r="N102" s="164"/>
      <c r="Q102" s="82" t="s">
        <v>1062</v>
      </c>
      <c r="R102" s="159"/>
      <c r="S102" s="32"/>
      <c r="T102" s="32"/>
      <c r="U102" s="32"/>
      <c r="AD102" s="72"/>
    </row>
    <row r="103" spans="1:30" ht="31">
      <c r="A103" s="163"/>
      <c r="B103" s="115"/>
      <c r="C103" s="115"/>
      <c r="D103" s="115"/>
      <c r="E103" s="110"/>
      <c r="F103" s="110"/>
      <c r="G103" s="110"/>
      <c r="H103" s="111"/>
      <c r="I103" s="113" t="s">
        <v>963</v>
      </c>
      <c r="J103" s="113"/>
      <c r="K103" s="165" t="s">
        <v>964</v>
      </c>
      <c r="L103" s="110" t="s">
        <v>965</v>
      </c>
      <c r="M103" s="111" t="s">
        <v>966</v>
      </c>
      <c r="N103" s="166" t="s">
        <v>967</v>
      </c>
      <c r="Q103" s="71" t="s">
        <v>962</v>
      </c>
      <c r="R103" s="159"/>
      <c r="S103" s="32"/>
      <c r="T103" s="32"/>
      <c r="U103" s="32"/>
      <c r="AD103" s="72"/>
    </row>
    <row r="104" spans="1:30" ht="15.5">
      <c r="A104" s="71" t="s">
        <v>1063</v>
      </c>
      <c r="B104" s="115"/>
      <c r="C104" s="114">
        <f>IFERROR(IF(K24=Fuel!$G$28,$F$96*(J24/100)/(H24/100),0),0)</f>
        <v>0</v>
      </c>
      <c r="D104" s="114">
        <f>IFERROR(IF(K24=Fuel!$G$28,0,$F$96*(J24/100)/(H24/100)),0)</f>
        <v>0</v>
      </c>
      <c r="E104" s="165">
        <f>IF(VLOOKUP(C24,Fuel!$C$4:$I$25,7,FALSE),D104,0)</f>
        <v>0</v>
      </c>
      <c r="F104" s="165">
        <f>IF(VLOOKUP(C24,Fuel!$C$4:$K$25,8,FALSE),D104,0)</f>
        <v>0</v>
      </c>
      <c r="G104" s="165">
        <f>IF(VLOOKUP(C24,Fuel!$C$4:$K$25,9,FALSE),D104,0)</f>
        <v>0</v>
      </c>
      <c r="H104" s="111"/>
      <c r="I104" s="209" t="s">
        <v>968</v>
      </c>
      <c r="J104" s="112">
        <f>IF(OR(A26="Heat Pump",A26="Exhaust Air Heat Pump"),1,0)</f>
        <v>1</v>
      </c>
      <c r="K104" s="210" t="e">
        <f>IF(J104,HP!F115,0)</f>
        <v>#DIV/0!</v>
      </c>
      <c r="L104" s="211" t="e">
        <f>IF(J104,(HP!D115*(HP!B7/HP!B8)),0)</f>
        <v>#DIV/0!</v>
      </c>
      <c r="M104" s="211">
        <f>IFERROR(IF(J104,L104/(K104/100),0),0)</f>
        <v>0</v>
      </c>
      <c r="N104" s="150" t="e">
        <f>(L104-M104)*P25</f>
        <v>#DIV/0!</v>
      </c>
      <c r="Q104" s="71"/>
      <c r="R104" s="159"/>
      <c r="S104" s="32"/>
      <c r="T104" s="32"/>
      <c r="U104" s="32"/>
      <c r="AD104" s="72"/>
    </row>
    <row r="105" spans="1:30" ht="15.5">
      <c r="A105" s="71" t="s">
        <v>1064</v>
      </c>
      <c r="B105" s="115"/>
      <c r="C105" s="114">
        <f>IFERROR(IF(K25=Fuel!$G$28,$F$96*(J25/100)/(H25/100),0),0)</f>
        <v>0</v>
      </c>
      <c r="D105" s="114">
        <f>IFERROR(IF(K25=Fuel!$G$28,0,$F$96*(J25/100)/(H25/100)),0)</f>
        <v>0</v>
      </c>
      <c r="E105" s="165">
        <f>IF(VLOOKUP(C25,Fuel!$C$4:$I$25,7,FALSE),D105,0)</f>
        <v>0</v>
      </c>
      <c r="F105" s="165">
        <f>IF(VLOOKUP(C25,Fuel!$C$4:$K$25,8,FALSE),D105,0)</f>
        <v>0</v>
      </c>
      <c r="G105" s="165">
        <f>IF(VLOOKUP(C25,Fuel!$C$4:$K$25,9,FALSE),D105,0)</f>
        <v>0</v>
      </c>
      <c r="H105" s="111"/>
      <c r="I105" s="209" t="s">
        <v>1065</v>
      </c>
      <c r="J105" s="112">
        <f>IF(OR(A27="Heat Pump",A27="Exhaust Air Heat Pump"),1,0)</f>
        <v>1</v>
      </c>
      <c r="K105" s="210">
        <f>IF(J105,HP!F116,0)</f>
        <v>150</v>
      </c>
      <c r="L105" s="211">
        <f>IF(J105,(HP!D116*(HP!B7/HP!B8)),0)</f>
        <v>0</v>
      </c>
      <c r="M105" s="211">
        <f>IFERROR(IF(J105,L105/(K105/100),0),0)</f>
        <v>0</v>
      </c>
      <c r="N105" s="150">
        <f>(L105-M105)*S25</f>
        <v>0</v>
      </c>
      <c r="Q105" s="71" t="s">
        <v>1057</v>
      </c>
      <c r="R105" s="159"/>
      <c r="S105" s="32"/>
      <c r="T105" s="32"/>
      <c r="U105" s="32"/>
      <c r="V105" s="4">
        <f>F96</f>
        <v>0</v>
      </c>
      <c r="AD105" s="72"/>
    </row>
    <row r="106" spans="1:30" ht="18.75" customHeight="1">
      <c r="A106" s="71" t="s">
        <v>1066</v>
      </c>
      <c r="C106" s="114">
        <f>IFERROR(IF(K26=Fuel!$G$28,$F$96*(J26/100)/(P23/100),0),0)</f>
        <v>0</v>
      </c>
      <c r="D106" s="114">
        <f>IFERROR(IF(K26=Fuel!$G$28,0,$F$96*(J26/100)/(P23/100)),0)</f>
        <v>0</v>
      </c>
      <c r="E106" s="165">
        <f>IF(VLOOKUP(C26,Fuel!$C$4:$I$25,7,FALSE),D106,0)</f>
        <v>0</v>
      </c>
      <c r="F106" s="165">
        <f>IF(VLOOKUP(C26,Fuel!$C$4:$K$25,8,FALSE),D106,0)</f>
        <v>0</v>
      </c>
      <c r="G106" s="165">
        <f>IF(VLOOKUP(C26,Fuel!$C$4:$K$25,9,FALSE),D106,0)</f>
        <v>0</v>
      </c>
      <c r="H106" s="111"/>
      <c r="I106" s="115"/>
      <c r="J106" s="175"/>
      <c r="K106" s="212"/>
      <c r="L106" s="213"/>
      <c r="M106" s="213"/>
      <c r="N106" s="184"/>
      <c r="Q106" s="167" t="s">
        <v>1058</v>
      </c>
      <c r="R106" s="159"/>
      <c r="S106" s="32"/>
      <c r="T106" s="32"/>
      <c r="U106" s="32"/>
      <c r="V106" s="4">
        <f>F97</f>
        <v>0</v>
      </c>
      <c r="X106" s="4"/>
      <c r="AD106" s="72"/>
    </row>
    <row r="107" spans="1:30" ht="15.5">
      <c r="A107" s="71" t="s">
        <v>1067</v>
      </c>
      <c r="B107" s="115"/>
      <c r="C107" s="114">
        <f>IFERROR(IF(K27=Fuel!$G$28,$F$96*(J27/100)/(S23/100),0),0)</f>
        <v>0</v>
      </c>
      <c r="D107" s="114">
        <f>IFERROR(IF(K27=Fuel!$G$28,0,$F$96*(J27/100)/(S23/100)),0)</f>
        <v>0</v>
      </c>
      <c r="E107" s="165">
        <f>IF(VLOOKUP(C27,Fuel!$C$4:$I$25,7,FALSE),D107,0)</f>
        <v>0</v>
      </c>
      <c r="F107" s="165">
        <f>IF(VLOOKUP(C27,Fuel!$C$4:$K$25,8,FALSE),D107,0)</f>
        <v>0</v>
      </c>
      <c r="G107" s="165">
        <f>IF(VLOOKUP(C27,Fuel!$C$4:$K$25,9,FALSE),D107,0)</f>
        <v>0</v>
      </c>
      <c r="H107" s="111"/>
      <c r="I107" s="115"/>
      <c r="J107" s="175"/>
      <c r="K107" s="212"/>
      <c r="L107" s="213"/>
      <c r="M107" s="213"/>
      <c r="N107" s="184"/>
      <c r="Q107" s="167" t="s">
        <v>1060</v>
      </c>
      <c r="Y107" s="115"/>
      <c r="AD107" s="72"/>
    </row>
    <row r="108" spans="1:30" ht="15.5">
      <c r="A108" s="71" t="s">
        <v>1068</v>
      </c>
      <c r="B108" s="115"/>
      <c r="C108" s="114"/>
      <c r="D108" s="114">
        <f>$F$96*(J28/100)</f>
        <v>0</v>
      </c>
      <c r="E108" s="165"/>
      <c r="F108" s="165"/>
      <c r="G108" s="165"/>
      <c r="H108" s="111"/>
      <c r="I108" s="113" t="s">
        <v>980</v>
      </c>
      <c r="J108" s="111"/>
      <c r="K108" s="212"/>
      <c r="L108" s="113" t="s">
        <v>980</v>
      </c>
      <c r="M108" s="111"/>
      <c r="N108" s="184"/>
      <c r="Q108" s="71"/>
      <c r="Y108" s="115"/>
      <c r="AD108" s="72"/>
    </row>
    <row r="109" spans="1:30" ht="20.25" customHeight="1">
      <c r="A109" s="167" t="s">
        <v>919</v>
      </c>
      <c r="B109" s="115"/>
      <c r="C109" s="114">
        <f>IF(D56=Fuel!$G$28,E77,0)</f>
        <v>0</v>
      </c>
      <c r="D109" s="114">
        <f>IF(D56=Fuel!$G$28,0,E77)</f>
        <v>0</v>
      </c>
      <c r="E109" s="165">
        <f>IF(VLOOKUP(D56,Fuel!$C$4:$I$25,7,FALSE),D109,0)</f>
        <v>0</v>
      </c>
      <c r="F109" s="165">
        <f>IF(VLOOKUP(D56,Fuel!$C$4:$K$25,8,FALSE),D109,0)</f>
        <v>0</v>
      </c>
      <c r="G109" s="165">
        <f>IF(VLOOKUP(D56,Fuel!$C$4:$K$25,9,FALSE),D109,0)</f>
        <v>0</v>
      </c>
      <c r="H109" s="111"/>
      <c r="I109" s="111" t="s">
        <v>982</v>
      </c>
      <c r="J109" s="176">
        <f>E83</f>
        <v>0</v>
      </c>
      <c r="K109" s="212"/>
      <c r="L109" s="111" t="s">
        <v>903</v>
      </c>
      <c r="M109" s="176">
        <f>IFERROR((F97/L36)*L35,0)</f>
        <v>0</v>
      </c>
      <c r="N109" s="184"/>
      <c r="Q109" s="71"/>
      <c r="R109" s="115"/>
      <c r="S109" s="115"/>
      <c r="T109" s="115"/>
      <c r="U109" s="448"/>
      <c r="V109" s="115"/>
      <c r="W109" s="448" t="s">
        <v>970</v>
      </c>
      <c r="X109" s="115"/>
      <c r="Y109" s="115"/>
      <c r="Z109" s="448" t="s">
        <v>971</v>
      </c>
      <c r="AA109" s="448"/>
      <c r="AB109" s="115" t="s">
        <v>972</v>
      </c>
      <c r="AD109" s="72"/>
    </row>
    <row r="110" spans="1:30" ht="20.25" customHeight="1">
      <c r="A110" s="167" t="s">
        <v>28</v>
      </c>
      <c r="B110" s="115"/>
      <c r="C110" s="114">
        <f>IFERROR(IF(D59=Fuel!$G$28,E80,0),0)</f>
        <v>0</v>
      </c>
      <c r="D110" s="114">
        <f>IFERROR(IF(D59=Fuel!$G$28,0,E80),0)</f>
        <v>0</v>
      </c>
      <c r="E110" s="165"/>
      <c r="F110" s="165"/>
      <c r="G110" s="165"/>
      <c r="H110" s="111"/>
      <c r="I110" s="111"/>
      <c r="J110" s="176"/>
      <c r="K110" s="212"/>
      <c r="L110" s="111"/>
      <c r="M110" s="176"/>
      <c r="N110" s="184"/>
      <c r="Q110" s="71"/>
      <c r="R110" s="115"/>
      <c r="S110" s="115"/>
      <c r="T110" s="115"/>
      <c r="U110" s="448"/>
      <c r="V110" s="115"/>
      <c r="W110" s="448"/>
      <c r="X110" s="115"/>
      <c r="Y110" s="115"/>
      <c r="Z110" s="448"/>
      <c r="AA110" s="448"/>
      <c r="AB110" s="115"/>
      <c r="AD110" s="72"/>
    </row>
    <row r="111" spans="1:30" ht="15" customHeight="1">
      <c r="A111" s="71" t="s">
        <v>991</v>
      </c>
      <c r="B111" s="115"/>
      <c r="C111" s="114" t="s">
        <v>206</v>
      </c>
      <c r="D111" s="114">
        <f>IF(J33=1,F97/L36,0)</f>
        <v>0</v>
      </c>
      <c r="E111" s="165">
        <f>IF(VLOOKUP(G37,Fuel!$C$4:$I$25,7,FALSE),D111,0)</f>
        <v>0</v>
      </c>
      <c r="F111" s="165">
        <f>IF(VLOOKUP(G37,Fuel!$C$4:$K$25,8,FALSE),D111,0)</f>
        <v>0</v>
      </c>
      <c r="G111" s="165">
        <f>IF(VLOOKUP(G37,Fuel!$C$4:$K$25,9,FALSE),D111,0)</f>
        <v>0</v>
      </c>
      <c r="H111" s="111"/>
      <c r="I111" s="115"/>
      <c r="J111" s="175"/>
      <c r="K111" s="212"/>
      <c r="L111" s="213"/>
      <c r="M111" s="213"/>
      <c r="N111" s="184"/>
      <c r="Q111" s="71"/>
      <c r="R111" s="115"/>
      <c r="S111" s="115"/>
      <c r="T111" s="115"/>
      <c r="U111" s="448"/>
      <c r="V111" s="115"/>
      <c r="W111" s="448" t="s">
        <v>974</v>
      </c>
      <c r="X111" s="115"/>
      <c r="Y111" s="115"/>
      <c r="Z111" s="448" t="s">
        <v>811</v>
      </c>
      <c r="AA111" s="448" t="s">
        <v>975</v>
      </c>
      <c r="AB111" s="115" t="s">
        <v>976</v>
      </c>
      <c r="AD111" s="72"/>
    </row>
    <row r="112" spans="1:30" ht="15.5">
      <c r="A112" s="71" t="s">
        <v>1069</v>
      </c>
      <c r="B112" s="115"/>
      <c r="C112" s="114"/>
      <c r="D112" s="114">
        <f>IF(J33=2,F98,0)</f>
        <v>0</v>
      </c>
      <c r="E112" s="165"/>
      <c r="F112" s="165"/>
      <c r="G112" s="165"/>
      <c r="H112" s="110"/>
      <c r="I112" s="113" t="s">
        <v>986</v>
      </c>
      <c r="J112" s="111"/>
      <c r="K112" s="111"/>
      <c r="L112" s="185" t="s">
        <v>987</v>
      </c>
      <c r="M112" s="111"/>
      <c r="N112" s="164"/>
      <c r="Q112" s="71" t="s">
        <v>1063</v>
      </c>
      <c r="R112" s="115"/>
      <c r="S112" s="115"/>
      <c r="T112" s="115"/>
      <c r="U112" s="448"/>
      <c r="V112" s="115"/>
      <c r="W112" s="448">
        <f>IF(SUM(E115:G115)&gt;1,1,0)</f>
        <v>0</v>
      </c>
      <c r="Z112" s="392">
        <f>IF(W112,SUM(E104:G107),0)</f>
        <v>0</v>
      </c>
      <c r="AA112" s="114">
        <f t="shared" ref="AA112:AA118" si="3">IF(tfa,Z112/tfa,0)</f>
        <v>0</v>
      </c>
      <c r="AB112" s="115">
        <v>1</v>
      </c>
      <c r="AD112" s="72"/>
    </row>
    <row r="113" spans="1:30" ht="15.5">
      <c r="A113" s="167" t="s">
        <v>923</v>
      </c>
      <c r="B113" s="115"/>
      <c r="C113" s="114">
        <f>E81</f>
        <v>53.097642798099116</v>
      </c>
      <c r="D113" s="114">
        <v>0</v>
      </c>
      <c r="E113" s="165" t="s">
        <v>206</v>
      </c>
      <c r="F113" s="110"/>
      <c r="G113" s="110"/>
      <c r="H113" s="111"/>
      <c r="I113" s="111" t="s">
        <v>243</v>
      </c>
      <c r="J113" s="176">
        <f>E84+E87+E90-E85-E88-E91</f>
        <v>0</v>
      </c>
      <c r="K113" s="111"/>
      <c r="L113" s="186">
        <f>IF(F97&gt;0, (F97*((1.1/0.9)+((L35*Fuel!G28)/(L36))-(1.1/L36))),0)</f>
        <v>0</v>
      </c>
      <c r="M113" s="110"/>
      <c r="N113" s="164"/>
      <c r="Q113" s="71" t="s">
        <v>1070</v>
      </c>
      <c r="R113" s="115"/>
      <c r="S113" s="115"/>
      <c r="T113" s="115"/>
      <c r="U113" s="448"/>
      <c r="V113" s="115"/>
      <c r="W113" s="448">
        <f>IF(OR(A26="Heat Pump",A26="Exhaust Air Heat Pump"),IF(H26&gt;250,1,0),0)</f>
        <v>0</v>
      </c>
      <c r="Z113" s="392">
        <f>IF(W113,$V$105*(J26/100)*(1-250/H26),0)</f>
        <v>0</v>
      </c>
      <c r="AA113" s="114">
        <f t="shared" si="3"/>
        <v>0</v>
      </c>
      <c r="AB113" s="115">
        <v>1</v>
      </c>
      <c r="AD113" s="72"/>
    </row>
    <row r="114" spans="1:30" ht="15.5">
      <c r="A114" s="167" t="s">
        <v>924</v>
      </c>
      <c r="B114" s="115"/>
      <c r="C114" s="114">
        <f>E82</f>
        <v>246.51445106940128</v>
      </c>
      <c r="D114" s="114">
        <v>0</v>
      </c>
      <c r="E114" s="165" t="s">
        <v>206</v>
      </c>
      <c r="F114" s="110"/>
      <c r="G114" s="110"/>
      <c r="H114" s="111"/>
      <c r="I114" s="111"/>
      <c r="J114" s="110"/>
      <c r="K114" s="111"/>
      <c r="L114" s="186"/>
      <c r="M114" s="110"/>
      <c r="N114" s="164"/>
      <c r="Q114" s="71" t="s">
        <v>1070</v>
      </c>
      <c r="R114" s="115"/>
      <c r="S114" s="115"/>
      <c r="T114" s="115"/>
      <c r="U114" s="448"/>
      <c r="V114" s="115"/>
      <c r="W114" s="448">
        <f>IF(OR(A27="Heat Pump",A27="Exhaust Air Heat Pump"),IF(H27&gt;250,1,0),0)</f>
        <v>0</v>
      </c>
      <c r="Z114" s="392">
        <f>IF(W114,$V$105*(J27/100)*(1-250/H27),0)</f>
        <v>0</v>
      </c>
      <c r="AA114" s="114">
        <f t="shared" si="3"/>
        <v>0</v>
      </c>
      <c r="AB114" s="115">
        <v>1</v>
      </c>
      <c r="AD114" s="72"/>
    </row>
    <row r="115" spans="1:30" ht="15.5">
      <c r="A115" s="168" t="s">
        <v>989</v>
      </c>
      <c r="B115" s="416"/>
      <c r="C115" s="169">
        <f>SUM(C104:C114)</f>
        <v>299.61209386750039</v>
      </c>
      <c r="D115" s="169">
        <f>SUM(D104:D114)</f>
        <v>0</v>
      </c>
      <c r="E115" s="169">
        <f>SUM(E104:E114)</f>
        <v>0</v>
      </c>
      <c r="F115" s="169">
        <f>SUM(F104:F114)</f>
        <v>0</v>
      </c>
      <c r="G115" s="169">
        <f>SUM(G104:G114)</f>
        <v>0</v>
      </c>
      <c r="H115" s="170"/>
      <c r="I115" s="170"/>
      <c r="J115" s="171"/>
      <c r="K115" s="170"/>
      <c r="L115" s="172"/>
      <c r="M115" s="171"/>
      <c r="N115" s="173"/>
      <c r="Q115" s="71" t="s">
        <v>1068</v>
      </c>
      <c r="R115" s="115"/>
      <c r="S115" s="115"/>
      <c r="T115" s="115"/>
      <c r="U115" s="448"/>
      <c r="V115" s="115"/>
      <c r="W115" s="448">
        <f>IF(J28&gt;0,1,0)</f>
        <v>0</v>
      </c>
      <c r="Z115" s="392">
        <f>IF(W115,$V$105*(J28/100),0)</f>
        <v>0</v>
      </c>
      <c r="AA115" s="114">
        <f>IF(tfa,Z115/tfa,0)</f>
        <v>0</v>
      </c>
      <c r="AB115" s="115">
        <v>1</v>
      </c>
      <c r="AD115" s="72"/>
    </row>
    <row r="116" spans="1:30" ht="13">
      <c r="B116" s="159"/>
      <c r="C116" s="32"/>
      <c r="D116" s="32"/>
      <c r="E116" s="32"/>
      <c r="Q116" s="167" t="s">
        <v>1071</v>
      </c>
      <c r="R116" s="115"/>
      <c r="S116" s="115"/>
      <c r="T116" s="115"/>
      <c r="U116" s="448"/>
      <c r="V116" s="115"/>
      <c r="W116" s="448">
        <f>VLOOKUP(D56,Fuel!$C$4:$I$25,7,FALSE)</f>
        <v>0</v>
      </c>
      <c r="Z116" s="392">
        <f>IF(W116,AA15*(AA14/100),0)</f>
        <v>0</v>
      </c>
      <c r="AA116" s="114">
        <f t="shared" si="3"/>
        <v>0</v>
      </c>
      <c r="AB116" s="115">
        <v>1</v>
      </c>
      <c r="AD116" s="72"/>
    </row>
    <row r="117" spans="1:30" ht="13">
      <c r="A117" s="3" t="s">
        <v>225</v>
      </c>
      <c r="Q117" s="71" t="s">
        <v>981</v>
      </c>
      <c r="R117" s="115"/>
      <c r="S117" s="115"/>
      <c r="T117" s="115"/>
      <c r="U117" s="448"/>
      <c r="V117" s="115"/>
      <c r="W117" s="448">
        <f>IF(AND(I56=Fuel!H18,K7&gt;250),1,0)</f>
        <v>0</v>
      </c>
      <c r="Z117" s="392">
        <f>IF(W117,(K7/100-2.5)*K8,0)</f>
        <v>0</v>
      </c>
      <c r="AA117" s="114">
        <f t="shared" si="3"/>
        <v>0</v>
      </c>
      <c r="AB117" s="115">
        <v>1</v>
      </c>
      <c r="AD117" s="72"/>
    </row>
    <row r="118" spans="1:30" ht="13">
      <c r="A118" s="3" t="s">
        <v>1072</v>
      </c>
      <c r="Q118" s="71" t="s">
        <v>1073</v>
      </c>
      <c r="R118" s="115"/>
      <c r="S118" s="115"/>
      <c r="T118" s="115"/>
      <c r="U118" s="448"/>
      <c r="V118" s="115"/>
      <c r="W118" s="448">
        <f>WH!G33</f>
        <v>0</v>
      </c>
      <c r="Z118" s="392">
        <f>IF(W118,WH!G36,0)</f>
        <v>0</v>
      </c>
      <c r="AA118" s="114">
        <f t="shared" si="3"/>
        <v>0</v>
      </c>
      <c r="AB118" s="115">
        <v>1</v>
      </c>
      <c r="AD118" s="72"/>
    </row>
    <row r="119" spans="1:30" ht="13">
      <c r="A119" s="3" t="s">
        <v>1074</v>
      </c>
      <c r="E119" s="3" t="s">
        <v>1075</v>
      </c>
      <c r="Q119" s="71" t="s">
        <v>991</v>
      </c>
      <c r="R119" s="115"/>
      <c r="S119" s="115"/>
      <c r="T119" s="115"/>
      <c r="U119" s="448"/>
      <c r="V119" s="115"/>
      <c r="W119" s="448">
        <f>IF(J33=1,1,0)</f>
        <v>0</v>
      </c>
      <c r="X119" s="115"/>
      <c r="Y119" s="115"/>
      <c r="Z119">
        <f>IF(D154&gt;0,D154,0)</f>
        <v>0</v>
      </c>
      <c r="AA119" s="114">
        <f>IF(tfa,Z119/tfa,0)</f>
        <v>0</v>
      </c>
      <c r="AB119" s="115">
        <v>1</v>
      </c>
      <c r="AD119" s="72"/>
    </row>
    <row r="120" spans="1:30" ht="38">
      <c r="A120" s="3" t="str">
        <f>Fuel!C23</f>
        <v>-</v>
      </c>
      <c r="E120" s="3" t="str">
        <f>Fuel!C23</f>
        <v>-</v>
      </c>
      <c r="Q120" s="71" t="s">
        <v>993</v>
      </c>
      <c r="R120" s="115"/>
      <c r="S120" s="115"/>
      <c r="T120" s="115"/>
      <c r="U120" s="448"/>
      <c r="V120" s="115"/>
      <c r="W120" s="448" t="s">
        <v>486</v>
      </c>
      <c r="X120" s="115"/>
      <c r="Y120" s="115"/>
      <c r="Z120" s="494" t="s">
        <v>994</v>
      </c>
      <c r="AA120" s="448"/>
      <c r="AB120" s="115"/>
      <c r="AD120" s="72"/>
    </row>
    <row r="121" spans="1:30">
      <c r="A121" t="str">
        <f>Fuel!C4</f>
        <v>mains gas</v>
      </c>
      <c r="E121" t="str">
        <f>Fuel!C4</f>
        <v>mains gas</v>
      </c>
      <c r="Q121" s="167" t="s">
        <v>927</v>
      </c>
      <c r="R121" s="115" t="str">
        <f>IF(ISBLANK(T70),"-",T70)</f>
        <v>-</v>
      </c>
      <c r="S121" s="115"/>
      <c r="T121" s="115"/>
      <c r="U121" s="448"/>
      <c r="V121" s="115"/>
      <c r="W121" s="703" t="s">
        <v>996</v>
      </c>
      <c r="X121" s="704"/>
      <c r="Y121" s="495"/>
      <c r="Z121" s="496"/>
      <c r="AA121" s="114">
        <f>IF(tfa,Z121/tfa,0)</f>
        <v>0</v>
      </c>
      <c r="AB121" s="495">
        <f>VLOOKUP(W121,$A$149:$C$151,3,FALSE)</f>
        <v>0</v>
      </c>
      <c r="AD121" s="72"/>
    </row>
    <row r="122" spans="1:30">
      <c r="A122" t="str">
        <f>Fuel!C5</f>
        <v>bulk LPG (propane or butane)</v>
      </c>
      <c r="E122" t="str">
        <f>Fuel!C5</f>
        <v>bulk LPG (propane or butane)</v>
      </c>
      <c r="Q122" s="167" t="s">
        <v>932</v>
      </c>
      <c r="R122" s="115" t="str">
        <f>IF(ISBLANK(T73),"-",T73)</f>
        <v>-</v>
      </c>
      <c r="S122" s="115"/>
      <c r="T122" s="115"/>
      <c r="U122" s="448"/>
      <c r="V122" s="115"/>
      <c r="W122" s="703" t="s">
        <v>996</v>
      </c>
      <c r="X122" s="704"/>
      <c r="Y122" s="115"/>
      <c r="Z122" s="496"/>
      <c r="AA122" s="114">
        <f>IF(tfa,Z122/tfa,0)</f>
        <v>0</v>
      </c>
      <c r="AB122" s="495">
        <f>VLOOKUP(W122,$A$149:$C$151,3,FALSE)</f>
        <v>0</v>
      </c>
      <c r="AD122" s="72"/>
    </row>
    <row r="123" spans="1:30">
      <c r="A123" t="str">
        <f>Fuel!C7</f>
        <v>heating oil</v>
      </c>
      <c r="E123" t="str">
        <f>Fuel!C6</f>
        <v>bottled LPG</v>
      </c>
      <c r="Q123" s="167" t="s">
        <v>936</v>
      </c>
      <c r="R123" s="115" t="str">
        <f>IF(ISBLANK(T76),"-",T76)</f>
        <v>-</v>
      </c>
      <c r="S123" s="115"/>
      <c r="T123" s="115"/>
      <c r="U123" s="448"/>
      <c r="V123" s="115"/>
      <c r="W123" s="703" t="s">
        <v>996</v>
      </c>
      <c r="X123" s="704"/>
      <c r="Y123" s="115"/>
      <c r="Z123" s="496"/>
      <c r="AA123" s="114">
        <f>IF(tfa,Z123/tfa,0)</f>
        <v>0</v>
      </c>
      <c r="AB123" s="495">
        <f>VLOOKUP(W123,$A$149:$C$151,3,FALSE)</f>
        <v>0</v>
      </c>
      <c r="AD123" s="72"/>
    </row>
    <row r="124" spans="1:30">
      <c r="A124" t="str">
        <f>Fuel!C8</f>
        <v>house coal</v>
      </c>
      <c r="E124" t="str">
        <f>Fuel!C7</f>
        <v>heating oil</v>
      </c>
      <c r="Q124" s="167"/>
      <c r="AA124" s="497"/>
      <c r="AB124" s="115"/>
      <c r="AD124" s="72"/>
    </row>
    <row r="125" spans="1:30">
      <c r="A125" t="str">
        <f>Fuel!C9</f>
        <v>anthracite</v>
      </c>
      <c r="E125" t="str">
        <f>Fuel!C8</f>
        <v>house coal</v>
      </c>
      <c r="Q125" s="167"/>
      <c r="R125" s="448" t="s">
        <v>997</v>
      </c>
      <c r="S125" s="115"/>
      <c r="T125" s="115"/>
      <c r="U125" s="115"/>
      <c r="V125" s="115"/>
      <c r="W125" s="448"/>
      <c r="X125" s="115"/>
      <c r="Y125" s="115"/>
      <c r="Z125" s="448"/>
      <c r="AA125" s="498">
        <f>SUMIF(AB112:AB123,1,AA112:AA123)</f>
        <v>0</v>
      </c>
      <c r="AB125" s="115"/>
      <c r="AC125" s="115"/>
      <c r="AD125" s="72"/>
    </row>
    <row r="126" spans="1:30">
      <c r="A126" t="str">
        <f>Fuel!C10</f>
        <v>manufactured smokeless fuel</v>
      </c>
      <c r="E126" t="str">
        <f>Fuel!C9</f>
        <v>anthracite</v>
      </c>
      <c r="Q126" s="167"/>
      <c r="R126" s="448" t="s">
        <v>998</v>
      </c>
      <c r="S126" s="115"/>
      <c r="T126" s="115"/>
      <c r="U126" s="115"/>
      <c r="V126" s="448"/>
      <c r="W126" s="448"/>
      <c r="X126" s="448"/>
      <c r="Y126" s="115"/>
      <c r="Z126" s="115"/>
      <c r="AA126" s="497">
        <f>SUMIF(AB112:AB123,2,AA112:AA123)</f>
        <v>0</v>
      </c>
      <c r="AB126" s="115"/>
      <c r="AC126" s="115"/>
      <c r="AD126" s="72"/>
    </row>
    <row r="127" spans="1:30">
      <c r="A127" t="str">
        <f>Fuel!C11</f>
        <v>peat briquettes</v>
      </c>
      <c r="E127" t="str">
        <f>Fuel!C10</f>
        <v>manufactured smokeless fuel</v>
      </c>
      <c r="Q127" s="167"/>
      <c r="R127" s="448" t="s">
        <v>999</v>
      </c>
      <c r="S127" s="115"/>
      <c r="T127" s="115"/>
      <c r="U127" s="115"/>
      <c r="V127" s="448"/>
      <c r="W127" s="448"/>
      <c r="X127" s="448"/>
      <c r="Y127" s="115"/>
      <c r="Z127" s="115"/>
      <c r="AA127" s="499">
        <f>AA125+AA126*2.5</f>
        <v>0</v>
      </c>
      <c r="AB127" s="115"/>
      <c r="AC127" s="115"/>
      <c r="AD127" s="72"/>
    </row>
    <row r="128" spans="1:30">
      <c r="A128" t="str">
        <f>Fuel!C12</f>
        <v>sod peat</v>
      </c>
      <c r="E128" t="str">
        <f>Fuel!C11</f>
        <v>peat briquettes</v>
      </c>
      <c r="Q128" s="71"/>
      <c r="R128" s="448" t="s">
        <v>1000</v>
      </c>
      <c r="S128" s="115"/>
      <c r="T128" s="115"/>
      <c r="U128" s="448"/>
      <c r="V128" s="448"/>
      <c r="W128" s="448"/>
      <c r="X128" s="448"/>
      <c r="Y128" s="115"/>
      <c r="Z128" s="115"/>
      <c r="AA128" s="412" t="str">
        <f>IF(AA127&gt;=10,"Complies","Does not comply")</f>
        <v>Does not comply</v>
      </c>
      <c r="AD128" s="72"/>
    </row>
    <row r="129" spans="1:30" ht="13">
      <c r="A129" t="str">
        <f>Fuel!C13</f>
        <v>wood logs</v>
      </c>
      <c r="E129" t="str">
        <f>Fuel!C12</f>
        <v>sod peat</v>
      </c>
      <c r="Q129" s="71"/>
      <c r="R129" s="159"/>
      <c r="S129" s="32"/>
      <c r="T129" s="32"/>
      <c r="U129" s="32"/>
      <c r="AD129" s="72"/>
    </row>
    <row r="130" spans="1:30">
      <c r="A130" t="str">
        <f>Fuel!C15</f>
        <v>wood pellets - bulk supply, for main htg</v>
      </c>
      <c r="E130" t="str">
        <f>Fuel!C13</f>
        <v>wood logs</v>
      </c>
      <c r="Q130" s="73"/>
      <c r="R130" s="73"/>
      <c r="S130" s="73"/>
      <c r="T130" s="73"/>
      <c r="U130" s="73"/>
      <c r="V130" s="73"/>
      <c r="W130" s="73"/>
      <c r="X130" s="73"/>
      <c r="Y130" s="73"/>
      <c r="Z130" s="73"/>
      <c r="AA130" s="73"/>
      <c r="AB130" s="73"/>
      <c r="AC130" s="73"/>
      <c r="AD130" s="75"/>
    </row>
    <row r="131" spans="1:30">
      <c r="A131" t="str">
        <f>Fuel!C16</f>
        <v>wood chips</v>
      </c>
      <c r="E131" t="str">
        <f>Fuel!C14</f>
        <v>wood pellets - in bags, for sec. htg</v>
      </c>
    </row>
    <row r="132" spans="1:30">
      <c r="A132" t="str">
        <f>Fuel!C17</f>
        <v>solid multi-fuel</v>
      </c>
      <c r="E132" t="str">
        <f>Fuel!C15</f>
        <v>wood pellets - bulk supply, for main htg</v>
      </c>
    </row>
    <row r="133" spans="1:30">
      <c r="A133" t="str">
        <f>Fuel!C20</f>
        <v>waste combustion</v>
      </c>
      <c r="E133" t="str">
        <f>Fuel!C16</f>
        <v>wood chips</v>
      </c>
    </row>
    <row r="134" spans="1:30">
      <c r="A134" t="str">
        <f>Fuel!C21</f>
        <v>biomass or biogas</v>
      </c>
      <c r="E134" t="str">
        <f>Fuel!C17</f>
        <v>solid multi-fuel</v>
      </c>
    </row>
    <row r="135" spans="1:30">
      <c r="A135" t="str">
        <f>Fuel!C18</f>
        <v>electricity</v>
      </c>
      <c r="E135" t="str">
        <f>Fuel!C18</f>
        <v>electricity</v>
      </c>
    </row>
    <row r="136" spans="1:30">
      <c r="A136" s="115" t="str">
        <f>Fuel!C24</f>
        <v>Biodiesel from renewable sources only</v>
      </c>
      <c r="E136" t="str">
        <f>Fuel!C24</f>
        <v>Biodiesel from renewable sources only</v>
      </c>
    </row>
    <row r="137" spans="1:30">
      <c r="A137" s="115" t="str">
        <f>Fuel!C25</f>
        <v>Bioethanol from renewable sources only</v>
      </c>
      <c r="E137" t="str">
        <f>Fuel!C25</f>
        <v>Bioethanol from renewable sources only</v>
      </c>
    </row>
    <row r="138" spans="1:30" ht="13">
      <c r="A138" s="3" t="s">
        <v>342</v>
      </c>
    </row>
    <row r="139" spans="1:30">
      <c r="A139" t="s">
        <v>245</v>
      </c>
      <c r="B139">
        <v>1</v>
      </c>
    </row>
    <row r="140" spans="1:30">
      <c r="A140" t="s">
        <v>246</v>
      </c>
      <c r="B140">
        <v>0</v>
      </c>
    </row>
    <row r="141" spans="1:30">
      <c r="A141" t="s">
        <v>250</v>
      </c>
      <c r="B141">
        <v>0</v>
      </c>
    </row>
    <row r="143" spans="1:30" ht="13">
      <c r="A143" s="3" t="s">
        <v>832</v>
      </c>
    </row>
    <row r="144" spans="1:30">
      <c r="A144" t="s">
        <v>903</v>
      </c>
      <c r="D144">
        <v>1</v>
      </c>
    </row>
    <row r="145" spans="1:6">
      <c r="A145" t="s">
        <v>1037</v>
      </c>
      <c r="D145">
        <v>2</v>
      </c>
    </row>
    <row r="146" spans="1:6">
      <c r="A146" t="s">
        <v>250</v>
      </c>
      <c r="D146">
        <v>2</v>
      </c>
    </row>
    <row r="148" spans="1:6" ht="13">
      <c r="A148" s="8" t="s">
        <v>1001</v>
      </c>
      <c r="B148" s="115"/>
      <c r="C148" s="115"/>
    </row>
    <row r="149" spans="1:6">
      <c r="A149" s="115" t="s">
        <v>996</v>
      </c>
      <c r="B149" s="115"/>
      <c r="C149" s="115">
        <v>0</v>
      </c>
    </row>
    <row r="150" spans="1:6">
      <c r="A150" s="115" t="s">
        <v>1002</v>
      </c>
      <c r="B150" s="115"/>
      <c r="C150" s="115">
        <v>1</v>
      </c>
    </row>
    <row r="151" spans="1:6">
      <c r="A151" s="115" t="s">
        <v>1003</v>
      </c>
      <c r="B151" s="115"/>
      <c r="C151" s="115">
        <v>2</v>
      </c>
    </row>
    <row r="153" spans="1:6" ht="13">
      <c r="A153" s="8" t="s">
        <v>903</v>
      </c>
    </row>
    <row r="154" spans="1:6">
      <c r="A154" s="71" t="s">
        <v>991</v>
      </c>
      <c r="B154" s="115"/>
      <c r="C154" s="115"/>
      <c r="D154">
        <f>IF(L36&gt;0,(F97*((1/0.9)+(L35/(L36*0.4))-(1/L36))),0)</f>
        <v>0</v>
      </c>
      <c r="E154" s="115"/>
      <c r="F154" s="115"/>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1796875" defaultRowHeight="12.5"/>
  <cols>
    <col min="7" max="7" width="19.453125" bestFit="1" customWidth="1"/>
    <col min="8" max="8" width="18.453125" bestFit="1" customWidth="1"/>
    <col min="9" max="9" width="36.54296875" bestFit="1" customWidth="1"/>
    <col min="10" max="11" width="38.453125" customWidth="1"/>
  </cols>
  <sheetData>
    <row r="1" spans="1:11" ht="13">
      <c r="A1" s="34" t="s">
        <v>1076</v>
      </c>
      <c r="B1" s="24"/>
      <c r="C1" s="24"/>
      <c r="D1" s="24"/>
      <c r="E1" s="24"/>
      <c r="F1" s="24"/>
      <c r="G1" s="24"/>
      <c r="H1" s="24"/>
      <c r="I1" s="24"/>
      <c r="J1" s="24"/>
      <c r="K1" s="24"/>
    </row>
    <row r="2" spans="1:11" ht="13">
      <c r="C2" s="484" t="s">
        <v>187</v>
      </c>
      <c r="D2" s="24"/>
      <c r="E2" s="24"/>
      <c r="F2" s="24"/>
      <c r="G2" s="24" t="s">
        <v>1043</v>
      </c>
      <c r="H2" s="24" t="s">
        <v>1077</v>
      </c>
      <c r="I2" s="24" t="s">
        <v>1078</v>
      </c>
      <c r="J2" s="24" t="s">
        <v>1079</v>
      </c>
      <c r="K2" s="24" t="s">
        <v>1080</v>
      </c>
    </row>
    <row r="3" spans="1:11" ht="13">
      <c r="C3" s="115"/>
      <c r="D3" s="24"/>
      <c r="E3" s="24"/>
      <c r="F3" s="24"/>
      <c r="G3" s="24" t="s">
        <v>776</v>
      </c>
      <c r="H3" s="24" t="s">
        <v>914</v>
      </c>
      <c r="I3" s="24"/>
      <c r="J3" s="24"/>
      <c r="K3" s="24"/>
    </row>
    <row r="4" spans="1:11" ht="13">
      <c r="A4" s="8" t="s">
        <v>1081</v>
      </c>
      <c r="C4" s="115" t="s">
        <v>918</v>
      </c>
      <c r="D4" s="24"/>
      <c r="E4" s="24"/>
      <c r="F4" s="24"/>
      <c r="G4" s="485">
        <v>1.1000000000000001</v>
      </c>
      <c r="H4" s="411">
        <v>0.20300000000000001</v>
      </c>
      <c r="I4" s="24">
        <v>0</v>
      </c>
      <c r="J4" s="24">
        <v>0</v>
      </c>
      <c r="K4" s="24">
        <v>0</v>
      </c>
    </row>
    <row r="5" spans="1:11" ht="13">
      <c r="C5" s="115" t="s">
        <v>1082</v>
      </c>
      <c r="D5" s="24"/>
      <c r="E5" s="24"/>
      <c r="F5" s="24"/>
      <c r="G5" s="485">
        <v>1.1000000000000001</v>
      </c>
      <c r="H5" s="411">
        <v>0.23200000000000001</v>
      </c>
      <c r="I5" s="24">
        <v>0</v>
      </c>
      <c r="J5" s="24">
        <v>0</v>
      </c>
      <c r="K5" s="24">
        <v>0</v>
      </c>
    </row>
    <row r="6" spans="1:11" ht="13">
      <c r="C6" s="115" t="s">
        <v>1083</v>
      </c>
      <c r="D6" s="24"/>
      <c r="E6" s="24"/>
      <c r="F6" s="24"/>
      <c r="G6" s="485">
        <v>1.1000000000000001</v>
      </c>
      <c r="H6" s="411">
        <v>0.23200000000000001</v>
      </c>
      <c r="I6" s="24">
        <v>0</v>
      </c>
      <c r="J6" s="24">
        <v>0</v>
      </c>
      <c r="K6" s="24">
        <v>0</v>
      </c>
    </row>
    <row r="7" spans="1:11" ht="13">
      <c r="A7" s="8" t="s">
        <v>1084</v>
      </c>
      <c r="C7" s="115" t="s">
        <v>1085</v>
      </c>
      <c r="D7" s="24"/>
      <c r="E7" s="24"/>
      <c r="F7" s="24"/>
      <c r="G7" s="485">
        <v>1.1000000000000001</v>
      </c>
      <c r="H7" s="411">
        <v>0.27200000000000002</v>
      </c>
      <c r="I7" s="24">
        <v>0</v>
      </c>
      <c r="J7" s="24">
        <v>0</v>
      </c>
      <c r="K7" s="24">
        <v>0</v>
      </c>
    </row>
    <row r="8" spans="1:11" ht="13">
      <c r="A8" s="8" t="s">
        <v>1086</v>
      </c>
      <c r="C8" s="115" t="s">
        <v>1087</v>
      </c>
      <c r="D8" s="24"/>
      <c r="E8" s="24"/>
      <c r="F8" s="24"/>
      <c r="G8" s="485">
        <v>1.1000000000000001</v>
      </c>
      <c r="H8" s="411">
        <v>0.36099999999999999</v>
      </c>
      <c r="I8" s="24">
        <v>0</v>
      </c>
      <c r="J8" s="24">
        <v>0</v>
      </c>
      <c r="K8" s="24">
        <v>0</v>
      </c>
    </row>
    <row r="9" spans="1:11" ht="13">
      <c r="C9" s="115" t="s">
        <v>1088</v>
      </c>
      <c r="D9" s="24"/>
      <c r="E9" s="24"/>
      <c r="F9" s="24"/>
      <c r="G9" s="485">
        <v>1.1000000000000001</v>
      </c>
      <c r="H9" s="411">
        <v>0.36099999999999999</v>
      </c>
      <c r="I9" s="24">
        <v>0</v>
      </c>
      <c r="J9" s="24">
        <v>0</v>
      </c>
      <c r="K9" s="24">
        <v>0</v>
      </c>
    </row>
    <row r="10" spans="1:11" ht="13">
      <c r="C10" s="115" t="s">
        <v>1089</v>
      </c>
      <c r="D10" s="24"/>
      <c r="E10" s="24"/>
      <c r="F10" s="24"/>
      <c r="G10" s="485">
        <v>1.2</v>
      </c>
      <c r="H10" s="411">
        <v>0.39200000000000002</v>
      </c>
      <c r="I10" s="24">
        <v>0</v>
      </c>
      <c r="J10" s="24">
        <v>0</v>
      </c>
      <c r="K10" s="24">
        <v>0</v>
      </c>
    </row>
    <row r="11" spans="1:11" ht="13">
      <c r="C11" s="115" t="s">
        <v>1090</v>
      </c>
      <c r="D11" s="24"/>
      <c r="E11" s="24"/>
      <c r="F11" s="24"/>
      <c r="G11" s="485">
        <v>1.1000000000000001</v>
      </c>
      <c r="H11" s="411">
        <v>0.377</v>
      </c>
      <c r="I11" s="24">
        <v>0</v>
      </c>
      <c r="J11" s="24">
        <v>0</v>
      </c>
      <c r="K11" s="24">
        <v>0</v>
      </c>
    </row>
    <row r="12" spans="1:11" ht="13">
      <c r="C12" s="115" t="s">
        <v>1091</v>
      </c>
      <c r="D12" s="24"/>
      <c r="E12" s="24"/>
      <c r="F12" s="24"/>
      <c r="G12" s="485">
        <v>1.1000000000000001</v>
      </c>
      <c r="H12" s="411">
        <v>0.375</v>
      </c>
      <c r="I12" s="24">
        <v>0</v>
      </c>
      <c r="J12" s="24">
        <v>0</v>
      </c>
      <c r="K12" s="24">
        <v>0</v>
      </c>
    </row>
    <row r="13" spans="1:11" ht="13">
      <c r="C13" s="115" t="s">
        <v>1092</v>
      </c>
      <c r="D13" s="24"/>
      <c r="E13" s="24"/>
      <c r="F13" s="24"/>
      <c r="G13" s="485">
        <v>1.1000000000000001</v>
      </c>
      <c r="H13" s="411">
        <v>2.5000000000000001E-2</v>
      </c>
      <c r="I13" s="24">
        <v>1</v>
      </c>
      <c r="J13" s="24">
        <v>0</v>
      </c>
      <c r="K13" s="24">
        <v>0</v>
      </c>
    </row>
    <row r="14" spans="1:11" ht="13">
      <c r="C14" s="115" t="s">
        <v>1093</v>
      </c>
      <c r="D14" s="24"/>
      <c r="E14" s="24"/>
      <c r="F14" s="24"/>
      <c r="G14" s="485">
        <v>1.1000000000000001</v>
      </c>
      <c r="H14" s="411">
        <v>2.5000000000000001E-2</v>
      </c>
      <c r="I14" s="24">
        <v>1</v>
      </c>
      <c r="J14" s="24">
        <v>0</v>
      </c>
      <c r="K14" s="24">
        <v>0</v>
      </c>
    </row>
    <row r="15" spans="1:11" ht="13">
      <c r="C15" s="115" t="s">
        <v>1031</v>
      </c>
      <c r="D15" s="24"/>
      <c r="E15" s="24"/>
      <c r="F15" s="24"/>
      <c r="G15" s="485">
        <v>1.1000000000000001</v>
      </c>
      <c r="H15" s="411">
        <v>2.5000000000000001E-2</v>
      </c>
      <c r="I15" s="24">
        <v>1</v>
      </c>
      <c r="J15" s="24">
        <v>0</v>
      </c>
      <c r="K15" s="24">
        <v>0</v>
      </c>
    </row>
    <row r="16" spans="1:11" ht="13">
      <c r="C16" s="115" t="s">
        <v>1094</v>
      </c>
      <c r="D16" s="24"/>
      <c r="E16" s="24"/>
      <c r="F16" s="24"/>
      <c r="G16" s="485">
        <v>1.1000000000000001</v>
      </c>
      <c r="H16" s="411">
        <v>2.5000000000000001E-2</v>
      </c>
      <c r="I16" s="24">
        <v>1</v>
      </c>
      <c r="J16" s="24">
        <v>0</v>
      </c>
      <c r="K16" s="24">
        <v>0</v>
      </c>
    </row>
    <row r="17" spans="1:11" ht="13">
      <c r="C17" s="115" t="s">
        <v>1095</v>
      </c>
      <c r="D17" s="24"/>
      <c r="E17" s="24"/>
      <c r="F17" s="24"/>
      <c r="G17" s="207">
        <v>1.1000000000000001</v>
      </c>
      <c r="H17" s="411">
        <v>0.36899999999999999</v>
      </c>
      <c r="I17" s="24">
        <v>0</v>
      </c>
      <c r="J17" s="24">
        <v>0</v>
      </c>
      <c r="K17" s="24">
        <v>0</v>
      </c>
    </row>
    <row r="18" spans="1:11" ht="13">
      <c r="A18" s="8" t="s">
        <v>808</v>
      </c>
      <c r="C18" s="115" t="s">
        <v>850</v>
      </c>
      <c r="D18" s="24"/>
      <c r="E18" s="24"/>
      <c r="F18" s="24"/>
      <c r="G18" s="485">
        <f>G28</f>
        <v>1.75</v>
      </c>
      <c r="H18" s="411">
        <f>H28</f>
        <v>0.224</v>
      </c>
      <c r="I18" s="24">
        <v>0</v>
      </c>
      <c r="J18" s="24">
        <v>0</v>
      </c>
      <c r="K18" s="24">
        <v>0</v>
      </c>
    </row>
    <row r="19" spans="1:11" ht="13">
      <c r="C19" s="115" t="s">
        <v>1096</v>
      </c>
      <c r="D19" s="24"/>
      <c r="E19" s="24"/>
      <c r="F19" s="24"/>
      <c r="G19" s="485">
        <f>G28</f>
        <v>1.75</v>
      </c>
      <c r="H19" s="411">
        <f>H28</f>
        <v>0.224</v>
      </c>
      <c r="I19" s="24">
        <v>0</v>
      </c>
      <c r="J19" s="24">
        <v>0</v>
      </c>
      <c r="K19" s="24">
        <v>0</v>
      </c>
    </row>
    <row r="20" spans="1:11" ht="13">
      <c r="A20" s="8" t="s">
        <v>1097</v>
      </c>
      <c r="C20" s="115" t="s">
        <v>1098</v>
      </c>
      <c r="D20" s="24"/>
      <c r="E20" s="24"/>
      <c r="F20" s="24"/>
      <c r="G20" s="485">
        <v>1.1000000000000001</v>
      </c>
      <c r="H20" s="115">
        <v>5.7000000000000002E-2</v>
      </c>
      <c r="I20" s="24">
        <v>0</v>
      </c>
      <c r="J20" s="24">
        <v>0</v>
      </c>
      <c r="K20" s="24">
        <v>0</v>
      </c>
    </row>
    <row r="21" spans="1:11" ht="13">
      <c r="C21" s="115" t="s">
        <v>1099</v>
      </c>
      <c r="D21" s="24"/>
      <c r="E21" s="24"/>
      <c r="F21" s="24"/>
      <c r="G21" s="485">
        <v>1.1000000000000001</v>
      </c>
      <c r="H21" s="115">
        <v>2.5000000000000001E-2</v>
      </c>
      <c r="I21" s="24">
        <v>1</v>
      </c>
      <c r="J21" s="24">
        <v>0</v>
      </c>
      <c r="K21" s="24">
        <v>0</v>
      </c>
    </row>
    <row r="22" spans="1:11" ht="13">
      <c r="C22" s="115" t="s">
        <v>1100</v>
      </c>
      <c r="D22" s="24"/>
      <c r="E22" s="24"/>
      <c r="F22" s="24"/>
      <c r="G22" s="485">
        <v>1.05</v>
      </c>
      <c r="H22" s="115">
        <v>1.7999999999999999E-2</v>
      </c>
      <c r="I22" s="24">
        <v>0</v>
      </c>
      <c r="J22" s="24">
        <v>0</v>
      </c>
      <c r="K22" s="24">
        <v>0</v>
      </c>
    </row>
    <row r="23" spans="1:11" ht="13">
      <c r="C23" s="115" t="s">
        <v>250</v>
      </c>
      <c r="D23" s="24"/>
      <c r="E23" s="24"/>
      <c r="F23" s="24"/>
      <c r="G23" s="485">
        <v>0</v>
      </c>
      <c r="H23" s="485">
        <v>0</v>
      </c>
      <c r="I23" s="24">
        <v>0</v>
      </c>
      <c r="J23" s="24">
        <v>0</v>
      </c>
      <c r="K23" s="24">
        <v>0</v>
      </c>
    </row>
    <row r="24" spans="1:11" ht="13">
      <c r="A24" s="8" t="s">
        <v>1101</v>
      </c>
      <c r="B24" s="24"/>
      <c r="C24" s="440" t="s">
        <v>1102</v>
      </c>
      <c r="D24" s="115"/>
      <c r="E24" s="115"/>
      <c r="F24" s="440"/>
      <c r="G24" s="440">
        <v>1.3</v>
      </c>
      <c r="H24" s="440">
        <v>4.7E-2</v>
      </c>
      <c r="I24" s="24">
        <v>0</v>
      </c>
      <c r="J24" s="24">
        <v>1</v>
      </c>
      <c r="K24" s="24">
        <v>0</v>
      </c>
    </row>
    <row r="25" spans="1:11" ht="13">
      <c r="A25" s="24"/>
      <c r="B25" s="24"/>
      <c r="C25" s="440" t="s">
        <v>1103</v>
      </c>
      <c r="D25" s="115"/>
      <c r="E25" s="115"/>
      <c r="F25" s="440"/>
      <c r="G25" s="440">
        <v>1.34</v>
      </c>
      <c r="H25" s="440">
        <v>6.4000000000000001E-2</v>
      </c>
      <c r="I25" s="24">
        <v>0</v>
      </c>
      <c r="J25" s="24">
        <v>0</v>
      </c>
      <c r="K25" s="24">
        <v>1</v>
      </c>
    </row>
    <row r="26" spans="1:11" ht="13">
      <c r="A26" s="34"/>
      <c r="B26" s="24"/>
      <c r="I26" s="24"/>
      <c r="J26" s="24"/>
      <c r="K26" s="24"/>
    </row>
    <row r="27" spans="1:11" ht="13">
      <c r="A27" s="24"/>
      <c r="B27" s="24"/>
      <c r="C27" s="24"/>
      <c r="D27" s="24"/>
      <c r="E27" s="24"/>
    </row>
    <row r="28" spans="1:11" ht="13">
      <c r="A28" s="24"/>
      <c r="B28" s="24"/>
      <c r="C28" s="115" t="s">
        <v>1104</v>
      </c>
      <c r="D28" s="24"/>
      <c r="E28" s="24"/>
      <c r="F28" s="24"/>
      <c r="G28" s="443">
        <v>1.75</v>
      </c>
      <c r="H28" s="443">
        <v>0.224</v>
      </c>
    </row>
    <row r="29" spans="1:11" ht="13">
      <c r="A29" s="24"/>
      <c r="B29" s="24"/>
      <c r="C29" s="2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workbookViewId="0">
      <selection activeCell="G32" sqref="G32"/>
    </sheetView>
  </sheetViews>
  <sheetFormatPr defaultRowHeight="12.5"/>
  <cols>
    <col min="11" max="11" width="50.54296875" hidden="1" customWidth="1"/>
  </cols>
  <sheetData>
    <row r="1" spans="1:13" s="1" customFormat="1" ht="18" customHeight="1">
      <c r="A1" s="12" t="s">
        <v>1105</v>
      </c>
      <c r="B1" s="14"/>
      <c r="C1" s="381"/>
      <c r="D1" s="381"/>
      <c r="E1" s="381"/>
      <c r="F1" s="15"/>
      <c r="G1" s="15"/>
      <c r="H1" s="381"/>
      <c r="I1" s="381"/>
      <c r="J1" s="381"/>
      <c r="K1" s="615" t="s">
        <v>835</v>
      </c>
      <c r="L1" s="381"/>
      <c r="M1" s="154"/>
    </row>
    <row r="2" spans="1:13" ht="27" customHeight="1">
      <c r="A2" s="3"/>
      <c r="B2" s="115"/>
      <c r="C2" s="115"/>
      <c r="D2" s="115"/>
      <c r="E2" s="480" t="s">
        <v>940</v>
      </c>
      <c r="F2" s="480" t="s">
        <v>941</v>
      </c>
      <c r="G2" s="480" t="s">
        <v>1106</v>
      </c>
      <c r="H2" s="160"/>
      <c r="K2" s="622"/>
    </row>
    <row r="3" spans="1:13">
      <c r="A3" s="115"/>
      <c r="B3" s="115"/>
      <c r="C3" s="115"/>
      <c r="D3" s="115"/>
      <c r="E3" s="386" t="s">
        <v>811</v>
      </c>
      <c r="F3" s="386" t="s">
        <v>811</v>
      </c>
      <c r="G3" s="386" t="s">
        <v>943</v>
      </c>
      <c r="H3" s="386"/>
    </row>
    <row r="4" spans="1:13">
      <c r="A4" s="115" t="s">
        <v>917</v>
      </c>
      <c r="B4" s="115"/>
      <c r="C4" s="115"/>
      <c r="D4" s="115"/>
      <c r="E4" s="478">
        <f>CHOOSE(SH!$I$39,'ER1'!F53,'ER2'!E76)</f>
        <v>3089.9822890565615</v>
      </c>
      <c r="F4" s="478">
        <f>CHOOSE(SH!$I$39,'ER1'!G53,'ER2'!F76)</f>
        <v>3398.9805179622181</v>
      </c>
      <c r="G4" s="478">
        <f>CHOOSE(SH!$I$39,'ER1'!H53,'ER2'!G76)</f>
        <v>627.26640467848199</v>
      </c>
      <c r="H4" s="478"/>
    </row>
    <row r="5" spans="1:13">
      <c r="A5" s="115" t="s">
        <v>919</v>
      </c>
      <c r="B5" s="115"/>
      <c r="C5" s="115"/>
      <c r="D5" s="115"/>
      <c r="E5" s="478">
        <f>CHOOSE(SH!$I$39,'ER1'!F54,'ER2'!E77)</f>
        <v>0</v>
      </c>
      <c r="F5" s="478">
        <f>CHOOSE(SH!$I$39,'ER1'!G54,'ER2'!F77)</f>
        <v>0</v>
      </c>
      <c r="G5" s="478">
        <f>CHOOSE(SH!$I$39,'ER1'!H54,'ER2'!G77)</f>
        <v>0</v>
      </c>
      <c r="H5" s="478"/>
    </row>
    <row r="6" spans="1:13">
      <c r="A6" s="115" t="s">
        <v>920</v>
      </c>
      <c r="B6" s="115"/>
      <c r="C6" s="115"/>
      <c r="D6" s="115"/>
      <c r="E6" s="478">
        <f>CHOOSE(SH!$I$39,'ER1'!F55,'ER2'!E78)</f>
        <v>2725.7507665950402</v>
      </c>
      <c r="F6" s="478">
        <f>CHOOSE(SH!$I$39,'ER1'!G55,'ER2'!F78)</f>
        <v>2998.3258432545445</v>
      </c>
      <c r="G6" s="478">
        <f>CHOOSE(SH!$I$39,'ER1'!H55,'ER2'!G78)</f>
        <v>553.32740561879325</v>
      </c>
      <c r="H6" s="478"/>
    </row>
    <row r="7" spans="1:13">
      <c r="A7" s="115" t="s">
        <v>921</v>
      </c>
      <c r="B7" s="115"/>
      <c r="C7" s="115"/>
      <c r="D7" s="115"/>
      <c r="E7" s="478">
        <f>CHOOSE(SH!$I$39,'ER1'!F56,'ER2'!E79)</f>
        <v>0</v>
      </c>
      <c r="F7" s="478">
        <f>CHOOSE(SH!$I$39,'ER1'!G56,'ER2'!F79)</f>
        <v>0</v>
      </c>
      <c r="G7" s="478">
        <f>CHOOSE(SH!$I$39,'ER1'!H56,'ER2'!G79)</f>
        <v>0</v>
      </c>
      <c r="H7" s="478"/>
    </row>
    <row r="8" spans="1:13">
      <c r="A8" s="115" t="s">
        <v>28</v>
      </c>
      <c r="B8" s="115"/>
      <c r="C8" s="115"/>
      <c r="D8" s="115"/>
      <c r="E8" s="478">
        <f>CHOOSE(SH!$I$39,'ER1'!F57,'ER2'!E80)</f>
        <v>0</v>
      </c>
      <c r="F8" s="478">
        <f>CHOOSE(SH!$I$39,'ER1'!G57,'ER2'!F80)</f>
        <v>0</v>
      </c>
      <c r="G8" s="478">
        <f>CHOOSE(SH!$I$39,'ER1'!H57,'ER2'!G80)</f>
        <v>0</v>
      </c>
      <c r="H8" s="478"/>
      <c r="K8" s="198" t="s">
        <v>947</v>
      </c>
    </row>
    <row r="9" spans="1:13">
      <c r="A9" s="115" t="s">
        <v>1107</v>
      </c>
      <c r="B9" s="115"/>
      <c r="C9" s="115"/>
      <c r="D9" s="115"/>
      <c r="E9" s="478">
        <f>CHOOSE(SH!$I$39,'ER1'!F58,'ER2'!E81)</f>
        <v>97</v>
      </c>
      <c r="F9" s="478">
        <f>CHOOSE(SH!$I$39,'ER1'!G58,'ER2'!F81)</f>
        <v>169.75</v>
      </c>
      <c r="G9" s="478">
        <f>CHOOSE(SH!$I$39,'ER1'!H58,'ER2'!G81)</f>
        <v>21.728000000000002</v>
      </c>
      <c r="H9" s="478"/>
    </row>
    <row r="10" spans="1:13">
      <c r="A10" s="115" t="s">
        <v>924</v>
      </c>
      <c r="B10" s="115"/>
      <c r="C10" s="115"/>
      <c r="D10" s="115"/>
      <c r="E10" s="478">
        <f>CHOOSE(SH!$I$39,'ER1'!F59,'ER2'!E82)</f>
        <v>246.51445106940128</v>
      </c>
      <c r="F10" s="478">
        <f>CHOOSE(SH!$I$39,'ER1'!G59,'ER2'!F82)</f>
        <v>431.40028937145223</v>
      </c>
      <c r="G10" s="478">
        <f>CHOOSE(SH!$I$39,'ER1'!H59,'ER2'!G82)</f>
        <v>55.219237039545888</v>
      </c>
      <c r="H10" s="478"/>
    </row>
    <row r="11" spans="1:13">
      <c r="A11" s="115" t="s">
        <v>949</v>
      </c>
      <c r="B11" s="115"/>
      <c r="C11" s="115"/>
      <c r="D11" s="115"/>
      <c r="E11" s="478">
        <f>CHOOSE(SH!$I$39,'ER1'!F60,0)</f>
        <v>0</v>
      </c>
      <c r="F11" s="478">
        <f>CHOOSE(SH!$I$39,'ER1'!G60,0)</f>
        <v>0</v>
      </c>
      <c r="G11" s="478">
        <f>CHOOSE(SH!$I$39,'ER1'!H60,0)</f>
        <v>0</v>
      </c>
      <c r="H11" s="478"/>
    </row>
    <row r="12" spans="1:13">
      <c r="A12" s="115" t="s">
        <v>950</v>
      </c>
      <c r="E12" s="478">
        <f>0 - (CHOOSE(SH!$I$39,'ER1'!F61,0))</f>
        <v>0</v>
      </c>
      <c r="F12" s="478">
        <f>0 - (CHOOSE(SH!$I$39,'ER1'!G61,0))</f>
        <v>0</v>
      </c>
      <c r="G12" s="478">
        <f>0 - (CHOOSE(SH!$I$39,'ER1'!H61,0))</f>
        <v>0</v>
      </c>
      <c r="H12" s="478"/>
    </row>
    <row r="13" spans="1:13">
      <c r="A13" s="115" t="s">
        <v>951</v>
      </c>
      <c r="E13" s="478">
        <f>CHOOSE(SH!$I$39,-'ER1'!F62,-'ER2'!E83)</f>
        <v>-1477</v>
      </c>
      <c r="F13" s="478">
        <f>CHOOSE(SH!$I$39,-'ER1'!G62,-'ER2'!F83)</f>
        <v>-2584.75</v>
      </c>
      <c r="G13" s="478">
        <f>CHOOSE(SH!$I$39,-'ER1'!H62,-'ER2'!G83)</f>
        <v>-330.84800000000001</v>
      </c>
      <c r="H13" s="478"/>
    </row>
    <row r="14" spans="1:13">
      <c r="A14" s="115" t="s">
        <v>927</v>
      </c>
      <c r="B14" s="115" t="str">
        <f>CHOOSE(SH!$I$39,IF(ISBLANK('ER1'!D40),"-",'ER1'!D40),IF(ISBLANK('ER2'!D63),"-",'ER2'!D63))</f>
        <v xml:space="preserve"> </v>
      </c>
      <c r="C14" s="115"/>
      <c r="D14" s="115"/>
      <c r="E14" s="478">
        <f>CHOOSE(SH!$I$39,'ER1'!F64-'ER1'!F63,'ER2'!E85-'ER2'!E84)</f>
        <v>0</v>
      </c>
      <c r="F14" s="478">
        <f>CHOOSE(SH!$I$39,'ER1'!G64-'ER1'!G63,'ER2'!F85-'ER2'!F84)</f>
        <v>0</v>
      </c>
      <c r="G14" s="478">
        <f>CHOOSE(SH!$I$39,'ER1'!H64-'ER1'!H63,'ER2'!G85-'ER2'!G84)</f>
        <v>0</v>
      </c>
      <c r="H14" s="478"/>
    </row>
    <row r="15" spans="1:13">
      <c r="A15" s="115" t="s">
        <v>932</v>
      </c>
      <c r="B15" s="115" t="str">
        <f>CHOOSE(SH!$I$39,IF(ISBLANK('ER1'!D43),"-",'ER1'!D43),IF(ISBLANK('ER2'!D66),"-",'ER2'!D66))</f>
        <v>-</v>
      </c>
      <c r="C15" s="115"/>
      <c r="D15" s="115"/>
      <c r="E15" s="478">
        <f>CHOOSE(SH!$I$39,'ER1'!F66-'ER1'!F65,'ER2'!E88-'ER2'!E87)</f>
        <v>0</v>
      </c>
      <c r="F15" s="478">
        <f>CHOOSE(SH!$I$39,'ER1'!G66-'ER1'!G65,'ER2'!F88-'ER2'!F87)</f>
        <v>0</v>
      </c>
      <c r="G15" s="478">
        <f>CHOOSE(SH!$I$39,'ER1'!H66-'ER1'!H65,'ER2'!G88-'ER2'!G87)</f>
        <v>0</v>
      </c>
      <c r="H15" s="478"/>
    </row>
    <row r="16" spans="1:13">
      <c r="A16" s="115" t="s">
        <v>936</v>
      </c>
      <c r="B16" s="115" t="str">
        <f>CHOOSE(SH!$I$39,IF(ISBLANK('ER1'!D46),"-",'ER1'!D46),IF(ISBLANK('ER2'!D69),"-",'ER2'!D69))</f>
        <v>-</v>
      </c>
      <c r="C16" s="115"/>
      <c r="D16" s="115"/>
      <c r="E16" s="478">
        <f>CHOOSE(SH!$I$39,'ER1'!F68-'ER1'!F67,'ER2'!E91-'ER2'!E90)</f>
        <v>0</v>
      </c>
      <c r="F16" s="478">
        <f>CHOOSE(SH!$I$39,'ER1'!G68-'ER1'!G67,'ER2'!F91-'ER2'!F90)</f>
        <v>0</v>
      </c>
      <c r="G16" s="478">
        <f>CHOOSE(SH!$I$39,'ER1'!H68-'ER1'!H67,'ER2'!G91-'ER2'!G90)</f>
        <v>0</v>
      </c>
      <c r="H16" s="478"/>
    </row>
    <row r="17" spans="1:11">
      <c r="A17" s="115" t="s">
        <v>864</v>
      </c>
      <c r="B17" s="115"/>
      <c r="C17" s="115"/>
      <c r="D17" s="115"/>
      <c r="E17" s="470">
        <f>SUM(E4:E16)</f>
        <v>4682.2475067210034</v>
      </c>
      <c r="F17" s="470">
        <f>SUM(F4:F16)</f>
        <v>4413.7066505882149</v>
      </c>
      <c r="G17" s="470">
        <f>SUM(G4:G16)</f>
        <v>926.69304733682134</v>
      </c>
      <c r="H17" s="481"/>
    </row>
    <row r="18" spans="1:11" ht="14.5">
      <c r="A18" s="115" t="s">
        <v>1108</v>
      </c>
      <c r="B18" s="115"/>
      <c r="C18" s="115"/>
      <c r="D18" s="115"/>
      <c r="E18" s="477">
        <f>IF(tfa=0,0,E17/tfa)</f>
        <v>37.160694497785741</v>
      </c>
      <c r="F18" s="482">
        <f>IF(tfa=0,0,F17/tfa)</f>
        <v>35.029417861811233</v>
      </c>
      <c r="G18" s="482">
        <f>IF(tfa=0,0,G17/tfa)</f>
        <v>7.354706724895407</v>
      </c>
    </row>
    <row r="19" spans="1:11" ht="14.5">
      <c r="F19" t="s">
        <v>975</v>
      </c>
    </row>
    <row r="20" spans="1:11">
      <c r="A20" t="s">
        <v>1109</v>
      </c>
      <c r="F20" s="470">
        <f>F18</f>
        <v>35.029417861811233</v>
      </c>
      <c r="G20" s="483" t="str">
        <f>VLOOKUP(F20,B44:C58,2,TRUE)</f>
        <v>A2</v>
      </c>
    </row>
    <row r="22" spans="1:11" ht="13">
      <c r="A22" s="3"/>
      <c r="K22" s="198" t="s">
        <v>1110</v>
      </c>
    </row>
    <row r="23" spans="1:11">
      <c r="A23" s="115"/>
    </row>
    <row r="24" spans="1:11">
      <c r="A24" s="115"/>
    </row>
    <row r="26" spans="1:11" ht="13">
      <c r="A26" s="3" t="s">
        <v>1111</v>
      </c>
    </row>
    <row r="27" spans="1:11">
      <c r="A27" s="115" t="s">
        <v>962</v>
      </c>
    </row>
    <row r="28" spans="1:11">
      <c r="A28" s="115"/>
      <c r="E28" t="s">
        <v>941</v>
      </c>
      <c r="G28" t="s">
        <v>946</v>
      </c>
      <c r="I28" s="115" t="s">
        <v>1112</v>
      </c>
    </row>
    <row r="29" spans="1:11">
      <c r="A29" s="115"/>
      <c r="E29" t="s">
        <v>811</v>
      </c>
      <c r="G29" t="s">
        <v>943</v>
      </c>
      <c r="I29" s="115" t="s">
        <v>1113</v>
      </c>
    </row>
    <row r="30" spans="1:11">
      <c r="A30" s="115" t="s">
        <v>1114</v>
      </c>
      <c r="E30" s="31">
        <f>IF(E39,"-",'ER1'!AG61)</f>
        <v>17848.271798627637</v>
      </c>
      <c r="G30" s="31">
        <f>IF(G39,"-",'ER1'!AH61)</f>
        <v>3549.3904765401176</v>
      </c>
    </row>
    <row r="31" spans="1:11">
      <c r="A31" s="115"/>
      <c r="E31" t="s">
        <v>1115</v>
      </c>
      <c r="G31" t="s">
        <v>1116</v>
      </c>
      <c r="I31" s="115" t="s">
        <v>185</v>
      </c>
    </row>
    <row r="32" spans="1:11">
      <c r="A32" s="115" t="s">
        <v>1117</v>
      </c>
      <c r="E32" s="80">
        <f>IF(E39,"-",F17/E30)</f>
        <v>0.24729042118955108</v>
      </c>
      <c r="G32" s="80">
        <f>IF(G39,"-",G17/G30)</f>
        <v>0.26108512249126931</v>
      </c>
      <c r="I32" s="180">
        <f>RER!I18</f>
        <v>0.36933142963495441</v>
      </c>
    </row>
    <row r="33" spans="1:9">
      <c r="A33" s="115" t="s">
        <v>1118</v>
      </c>
      <c r="E33" s="81">
        <f>0.3</f>
        <v>0.3</v>
      </c>
      <c r="G33" s="81">
        <f>0.35</f>
        <v>0.35</v>
      </c>
      <c r="I33" s="181">
        <v>0.2</v>
      </c>
    </row>
    <row r="34" spans="1:9">
      <c r="A34" s="115"/>
      <c r="E34" s="79" t="str">
        <f>IF(E32&lt;=E33,"Complies","Does not comply")</f>
        <v>Complies</v>
      </c>
      <c r="G34" s="79" t="str">
        <f>IF(G32&lt;=G33,"Complies","Does not comply")</f>
        <v>Complies</v>
      </c>
      <c r="I34" s="79" t="str">
        <f>IF(I32&gt;=I33,"Complies","Does not comply")</f>
        <v>Complies</v>
      </c>
    </row>
    <row r="35" spans="1:9">
      <c r="A35" s="115"/>
    </row>
    <row r="37" spans="1:9" ht="13">
      <c r="A37" s="3" t="s">
        <v>1119</v>
      </c>
    </row>
    <row r="38" spans="1:9">
      <c r="E38" t="s">
        <v>945</v>
      </c>
      <c r="G38" t="s">
        <v>1022</v>
      </c>
    </row>
    <row r="39" spans="1:9">
      <c r="A39" s="69" t="s">
        <v>1120</v>
      </c>
      <c r="E39" t="b">
        <f>ISERROR('ER1'!AG61)</f>
        <v>0</v>
      </c>
      <c r="G39" t="b">
        <f>ISERROR('ER1'!AH61)</f>
        <v>0</v>
      </c>
      <c r="H39" s="115"/>
    </row>
    <row r="40" spans="1:9" ht="13">
      <c r="A40" s="8"/>
    </row>
    <row r="41" spans="1:9" ht="13">
      <c r="A41" s="3" t="s">
        <v>423</v>
      </c>
    </row>
    <row r="42" spans="1:9" ht="13">
      <c r="A42" s="3" t="s">
        <v>1121</v>
      </c>
    </row>
    <row r="43" spans="1:9">
      <c r="A43" t="s">
        <v>1122</v>
      </c>
      <c r="B43" t="s">
        <v>1123</v>
      </c>
      <c r="C43" t="s">
        <v>1124</v>
      </c>
    </row>
    <row r="44" spans="1:9">
      <c r="A44">
        <v>-1000</v>
      </c>
      <c r="B44">
        <f t="shared" ref="B44:B58" si="0">A44+0.000001</f>
        <v>-999.999999</v>
      </c>
      <c r="C44" t="s">
        <v>1125</v>
      </c>
    </row>
    <row r="45" spans="1:9">
      <c r="A45">
        <v>25</v>
      </c>
      <c r="B45">
        <f t="shared" si="0"/>
        <v>25.000001000000001</v>
      </c>
      <c r="C45" t="s">
        <v>1126</v>
      </c>
    </row>
    <row r="46" spans="1:9">
      <c r="A46">
        <v>50</v>
      </c>
      <c r="B46">
        <f t="shared" si="0"/>
        <v>50.000000999999997</v>
      </c>
      <c r="C46" t="s">
        <v>1127</v>
      </c>
    </row>
    <row r="47" spans="1:9">
      <c r="A47">
        <v>75</v>
      </c>
      <c r="B47">
        <f t="shared" si="0"/>
        <v>75.000000999999997</v>
      </c>
      <c r="C47" t="s">
        <v>1128</v>
      </c>
    </row>
    <row r="48" spans="1:9">
      <c r="A48">
        <v>100</v>
      </c>
      <c r="B48">
        <f t="shared" si="0"/>
        <v>100.000001</v>
      </c>
      <c r="C48" t="s">
        <v>1129</v>
      </c>
    </row>
    <row r="49" spans="1:3">
      <c r="A49">
        <v>125</v>
      </c>
      <c r="B49">
        <f t="shared" si="0"/>
        <v>125.000001</v>
      </c>
      <c r="C49" t="s">
        <v>1130</v>
      </c>
    </row>
    <row r="50" spans="1:3">
      <c r="A50">
        <v>150</v>
      </c>
      <c r="B50">
        <f t="shared" si="0"/>
        <v>150.000001</v>
      </c>
      <c r="C50" t="s">
        <v>1131</v>
      </c>
    </row>
    <row r="51" spans="1:3">
      <c r="A51">
        <v>175</v>
      </c>
      <c r="B51">
        <f t="shared" si="0"/>
        <v>175.000001</v>
      </c>
      <c r="C51" t="s">
        <v>1132</v>
      </c>
    </row>
    <row r="52" spans="1:3">
      <c r="A52">
        <v>200</v>
      </c>
      <c r="B52">
        <f t="shared" si="0"/>
        <v>200.000001</v>
      </c>
      <c r="C52" t="s">
        <v>1133</v>
      </c>
    </row>
    <row r="53" spans="1:3">
      <c r="A53">
        <v>225</v>
      </c>
      <c r="B53">
        <f t="shared" si="0"/>
        <v>225.000001</v>
      </c>
      <c r="C53" t="s">
        <v>1134</v>
      </c>
    </row>
    <row r="54" spans="1:3">
      <c r="A54">
        <v>260</v>
      </c>
      <c r="B54">
        <f t="shared" si="0"/>
        <v>260.000001</v>
      </c>
      <c r="C54" t="s">
        <v>1135</v>
      </c>
    </row>
    <row r="55" spans="1:3">
      <c r="A55">
        <v>300</v>
      </c>
      <c r="B55">
        <f t="shared" si="0"/>
        <v>300.000001</v>
      </c>
      <c r="C55" t="s">
        <v>1136</v>
      </c>
    </row>
    <row r="56" spans="1:3">
      <c r="A56">
        <v>340</v>
      </c>
      <c r="B56">
        <f t="shared" si="0"/>
        <v>340.000001</v>
      </c>
      <c r="C56" t="s">
        <v>1137</v>
      </c>
    </row>
    <row r="57" spans="1:3">
      <c r="A57">
        <v>380</v>
      </c>
      <c r="B57">
        <f t="shared" si="0"/>
        <v>380.000001</v>
      </c>
      <c r="C57" t="s">
        <v>1138</v>
      </c>
    </row>
    <row r="58" spans="1:3">
      <c r="A58">
        <v>450</v>
      </c>
      <c r="B58">
        <f t="shared" si="0"/>
        <v>450.000001</v>
      </c>
      <c r="C58" t="s">
        <v>1139</v>
      </c>
    </row>
  </sheetData>
  <sheetProtection algorithmName="SHA-512" hashValue="q4j7JrNldcOq86lNJLjur+xWGE+TwUFawXvIa/7+GYK+WA/BY/uOZDUkaQDHLFccj2jqm6+YaufSNnSZnMxqNQ==" saltValue="6Krpq2aN8IP/IPoWW/bM8g=="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1796875" defaultRowHeight="15.5"/>
  <cols>
    <col min="1" max="1" width="65.54296875" style="110" customWidth="1"/>
    <col min="2" max="2" width="19.54296875" style="110" customWidth="1"/>
    <col min="3" max="3" width="15.81640625" style="110" customWidth="1"/>
    <col min="4" max="6" width="14.54296875" style="110" customWidth="1"/>
    <col min="7" max="8" width="14.54296875" style="111" customWidth="1"/>
    <col min="9" max="9" width="14.54296875" style="110" customWidth="1"/>
    <col min="10" max="10" width="14.54296875" style="111" customWidth="1"/>
    <col min="11" max="11" width="14.54296875" style="186" customWidth="1"/>
    <col min="12" max="12" width="16.453125" style="110" customWidth="1"/>
    <col min="13" max="13" width="38.453125" style="186" customWidth="1"/>
    <col min="14" max="15" width="25.54296875" style="186" customWidth="1"/>
    <col min="16" max="16" width="11.453125" style="110" customWidth="1"/>
    <col min="17" max="24" width="9.1796875" style="110"/>
    <col min="25" max="25" width="35.54296875" style="110" customWidth="1"/>
    <col min="26" max="16384" width="9.1796875" style="110"/>
  </cols>
  <sheetData>
    <row r="1" spans="1:12" ht="29">
      <c r="A1" s="178"/>
      <c r="B1" s="183" t="s">
        <v>957</v>
      </c>
      <c r="C1" s="183" t="s">
        <v>958</v>
      </c>
      <c r="D1" s="183" t="s">
        <v>959</v>
      </c>
      <c r="E1" s="183" t="s">
        <v>960</v>
      </c>
      <c r="F1" s="183" t="s">
        <v>961</v>
      </c>
      <c r="G1" s="183" t="s">
        <v>1140</v>
      </c>
      <c r="H1" s="183" t="s">
        <v>1141</v>
      </c>
      <c r="I1" s="183" t="s">
        <v>1142</v>
      </c>
      <c r="J1" s="183" t="s">
        <v>1143</v>
      </c>
      <c r="K1" s="183" t="s">
        <v>1144</v>
      </c>
      <c r="L1" s="183" t="s">
        <v>1145</v>
      </c>
    </row>
    <row r="2" spans="1:12">
      <c r="A2" s="178" t="s">
        <v>989</v>
      </c>
      <c r="B2" s="179">
        <f>CHOOSE(SH!$I$39,'ER1'!C84,'ER2'!C115)</f>
        <v>343.51445106940128</v>
      </c>
      <c r="C2" s="179">
        <f>CHOOSE(SH!$I$39,'ER1'!D84,'ER2'!D115)</f>
        <v>5815.7330556516017</v>
      </c>
      <c r="D2" s="179">
        <f>CHOOSE(SH!$I$39,'ER1'!E84,'ER2'!E115)</f>
        <v>0</v>
      </c>
      <c r="E2" s="179">
        <f>CHOOSE(SH!$I$39,'ER1'!F84,'ER2'!F115)</f>
        <v>0</v>
      </c>
      <c r="F2" s="179">
        <f>CHOOSE(SH!$I$39,'ER1'!G84,'ER2'!G115)</f>
        <v>0</v>
      </c>
      <c r="G2" s="179">
        <f>CHOOSE(SH!$I$39,SUM('ER1'!N75:N77),SUM('ER2'!N104:N105))</f>
        <v>0</v>
      </c>
      <c r="H2" s="179">
        <f>CHOOSE(SH!$I$39,'ER1'!J81,'ER2'!J109)</f>
        <v>1477</v>
      </c>
      <c r="I2" s="179">
        <f>CHOOSE(SH!$I$39,'ER1'!M81,'ER2'!M109)</f>
        <v>0</v>
      </c>
      <c r="J2" s="179">
        <f>CHOOSE(SH!$I$39,'ER1'!J84,'ER2'!J113)</f>
        <v>0</v>
      </c>
      <c r="K2" s="179">
        <f>CHOOSE(SH!$I$39,0,'ER2'!D112)</f>
        <v>0</v>
      </c>
      <c r="L2" s="179">
        <f>CHOOSE(SH!$I$39,'ER1'!L84,'ER2'!L113)</f>
        <v>0</v>
      </c>
    </row>
    <row r="4" spans="1:12" ht="16" thickBot="1"/>
    <row r="5" spans="1:12" ht="26.5">
      <c r="A5" s="113" t="s">
        <v>206</v>
      </c>
      <c r="C5" s="134" t="s">
        <v>1146</v>
      </c>
      <c r="D5" s="138" t="s">
        <v>1147</v>
      </c>
      <c r="E5" s="139" t="s">
        <v>1148</v>
      </c>
      <c r="F5" s="138" t="s">
        <v>1149</v>
      </c>
      <c r="G5" s="117" t="s">
        <v>1150</v>
      </c>
      <c r="H5" s="145" t="s">
        <v>1151</v>
      </c>
      <c r="I5" s="118" t="s">
        <v>185</v>
      </c>
    </row>
    <row r="6" spans="1:12">
      <c r="C6" s="135" t="s">
        <v>562</v>
      </c>
      <c r="D6" s="140"/>
      <c r="E6" s="141"/>
      <c r="F6" s="140" t="s">
        <v>562</v>
      </c>
      <c r="G6" s="120" t="s">
        <v>562</v>
      </c>
      <c r="H6" s="146" t="s">
        <v>562</v>
      </c>
      <c r="I6" s="121" t="s">
        <v>1152</v>
      </c>
    </row>
    <row r="7" spans="1:12">
      <c r="A7" s="122" t="s">
        <v>1153</v>
      </c>
      <c r="B7" s="119" t="s">
        <v>1154</v>
      </c>
      <c r="C7" s="136">
        <f>H2</f>
        <v>1477</v>
      </c>
      <c r="D7" s="142">
        <v>0</v>
      </c>
      <c r="E7" s="143">
        <f>Fuel!G28</f>
        <v>1.75</v>
      </c>
      <c r="F7" s="129">
        <f>$C7*D7</f>
        <v>0</v>
      </c>
      <c r="G7" s="128">
        <f>$C7*E7</f>
        <v>2584.75</v>
      </c>
      <c r="H7" s="147">
        <f t="shared" ref="H7:H13" si="0">SUM(F7:G7)</f>
        <v>2584.75</v>
      </c>
      <c r="I7" s="130"/>
    </row>
    <row r="8" spans="1:12">
      <c r="A8" s="122" t="s">
        <v>1153</v>
      </c>
      <c r="B8" s="119" t="s">
        <v>243</v>
      </c>
      <c r="C8" s="136">
        <f>J2</f>
        <v>0</v>
      </c>
      <c r="D8" s="142">
        <v>0</v>
      </c>
      <c r="E8" s="143">
        <v>1</v>
      </c>
      <c r="F8" s="129">
        <f>$C8*D8</f>
        <v>0</v>
      </c>
      <c r="G8" s="128">
        <f>$C8*E8</f>
        <v>0</v>
      </c>
      <c r="H8" s="147">
        <f t="shared" si="0"/>
        <v>0</v>
      </c>
      <c r="I8" s="130"/>
    </row>
    <row r="9" spans="1:12">
      <c r="A9" s="122" t="s">
        <v>1153</v>
      </c>
      <c r="B9" s="119" t="s">
        <v>1155</v>
      </c>
      <c r="C9" s="136">
        <f>WH!G81+'ER2'!D108</f>
        <v>0</v>
      </c>
      <c r="D9" s="142">
        <v>0</v>
      </c>
      <c r="E9" s="143">
        <v>1</v>
      </c>
      <c r="F9" s="129">
        <f>$C9*D9</f>
        <v>0</v>
      </c>
      <c r="G9" s="128">
        <f t="shared" ref="G9:G12" si="1">$C9*E9</f>
        <v>0</v>
      </c>
      <c r="H9" s="147">
        <f t="shared" si="0"/>
        <v>0</v>
      </c>
      <c r="I9" s="130"/>
    </row>
    <row r="10" spans="1:12">
      <c r="A10" s="122" t="s">
        <v>1153</v>
      </c>
      <c r="B10" s="119" t="s">
        <v>959</v>
      </c>
      <c r="C10" s="136">
        <f>D2</f>
        <v>0</v>
      </c>
      <c r="D10" s="142">
        <v>0.1</v>
      </c>
      <c r="E10" s="143">
        <v>1</v>
      </c>
      <c r="F10" s="129">
        <f t="shared" ref="F10:F12" si="2">$C10*D10</f>
        <v>0</v>
      </c>
      <c r="G10" s="128">
        <f t="shared" si="1"/>
        <v>0</v>
      </c>
      <c r="H10" s="147">
        <f t="shared" si="0"/>
        <v>0</v>
      </c>
      <c r="I10" s="130"/>
    </row>
    <row r="11" spans="1:12">
      <c r="A11" s="122" t="s">
        <v>1153</v>
      </c>
      <c r="B11" s="119" t="s">
        <v>960</v>
      </c>
      <c r="C11" s="136">
        <f>E2</f>
        <v>0</v>
      </c>
      <c r="D11" s="142">
        <f>Fuel!G24-1</f>
        <v>0.30000000000000004</v>
      </c>
      <c r="E11" s="143">
        <v>1</v>
      </c>
      <c r="F11" s="129">
        <f t="shared" si="2"/>
        <v>0</v>
      </c>
      <c r="G11" s="128">
        <f t="shared" si="1"/>
        <v>0</v>
      </c>
      <c r="H11" s="147">
        <f t="shared" si="0"/>
        <v>0</v>
      </c>
      <c r="I11" s="130"/>
    </row>
    <row r="12" spans="1:12">
      <c r="A12" s="122" t="s">
        <v>1153</v>
      </c>
      <c r="B12" s="119" t="s">
        <v>1156</v>
      </c>
      <c r="C12" s="136">
        <f>F2</f>
        <v>0</v>
      </c>
      <c r="D12" s="142">
        <f>Fuel!G25-1</f>
        <v>0.34000000000000008</v>
      </c>
      <c r="E12" s="143">
        <v>1</v>
      </c>
      <c r="F12" s="129">
        <f t="shared" si="2"/>
        <v>0</v>
      </c>
      <c r="G12" s="128">
        <f t="shared" si="1"/>
        <v>0</v>
      </c>
      <c r="H12" s="147">
        <f t="shared" si="0"/>
        <v>0</v>
      </c>
      <c r="I12" s="130"/>
    </row>
    <row r="13" spans="1:12">
      <c r="A13" s="122" t="s">
        <v>1157</v>
      </c>
      <c r="B13" s="119" t="s">
        <v>23</v>
      </c>
      <c r="C13" s="136">
        <f>G2</f>
        <v>0</v>
      </c>
      <c r="D13" s="142">
        <v>0</v>
      </c>
      <c r="E13" s="143">
        <v>1</v>
      </c>
      <c r="F13" s="129">
        <f t="shared" ref="F13:F17" si="3">$C13*D13</f>
        <v>0</v>
      </c>
      <c r="G13" s="128">
        <f t="shared" ref="G13:G17" si="4">$C13*E13</f>
        <v>0</v>
      </c>
      <c r="H13" s="147">
        <f t="shared" si="0"/>
        <v>0</v>
      </c>
      <c r="I13" s="130"/>
    </row>
    <row r="14" spans="1:12">
      <c r="A14" s="122" t="s">
        <v>1158</v>
      </c>
      <c r="B14" s="119" t="s">
        <v>903</v>
      </c>
      <c r="C14" s="136">
        <f>L2</f>
        <v>0</v>
      </c>
      <c r="D14" s="142">
        <v>0</v>
      </c>
      <c r="E14" s="143">
        <v>1</v>
      </c>
      <c r="F14" s="129">
        <f t="shared" si="3"/>
        <v>0</v>
      </c>
      <c r="G14" s="128">
        <f t="shared" si="4"/>
        <v>0</v>
      </c>
      <c r="H14" s="151" t="s">
        <v>206</v>
      </c>
      <c r="I14" s="130"/>
    </row>
    <row r="15" spans="1:12">
      <c r="A15" s="122" t="s">
        <v>1153</v>
      </c>
      <c r="B15" s="119" t="s">
        <v>1037</v>
      </c>
      <c r="C15" s="136">
        <f>K2</f>
        <v>0</v>
      </c>
      <c r="D15" s="142">
        <f>'ER2'!K44</f>
        <v>0</v>
      </c>
      <c r="E15" s="143">
        <f>'ER2'!J44</f>
        <v>0</v>
      </c>
      <c r="F15" s="129">
        <f t="shared" ref="F15" si="5">$C15*D15</f>
        <v>0</v>
      </c>
      <c r="G15" s="128">
        <f t="shared" ref="G15" si="6">$C15*E15</f>
        <v>0</v>
      </c>
      <c r="H15" s="147">
        <f>SUM(F15:G15)</f>
        <v>0</v>
      </c>
      <c r="I15" s="130"/>
    </row>
    <row r="16" spans="1:12">
      <c r="A16" s="125" t="s">
        <v>1153</v>
      </c>
      <c r="B16" s="126" t="s">
        <v>1159</v>
      </c>
      <c r="C16" s="136">
        <f>B2-C7-I2</f>
        <v>-1133.4855489305987</v>
      </c>
      <c r="D16" s="142">
        <f>Fuel!G28</f>
        <v>1.75</v>
      </c>
      <c r="E16" s="143">
        <v>0</v>
      </c>
      <c r="F16" s="129">
        <f t="shared" si="3"/>
        <v>-1983.5997106285477</v>
      </c>
      <c r="G16" s="128">
        <f t="shared" si="4"/>
        <v>0</v>
      </c>
      <c r="H16" s="147">
        <f>SUM(F16:G16)</f>
        <v>-1983.5997106285477</v>
      </c>
      <c r="I16" s="130"/>
    </row>
    <row r="17" spans="1:12">
      <c r="A17" s="125" t="s">
        <v>1153</v>
      </c>
      <c r="B17" s="126" t="s">
        <v>1160</v>
      </c>
      <c r="C17" s="136">
        <f>C2-SUM(D2:F2)-K2</f>
        <v>5815.7330556516017</v>
      </c>
      <c r="D17" s="142">
        <v>1.1000000000000001</v>
      </c>
      <c r="E17" s="143">
        <v>0</v>
      </c>
      <c r="F17" s="129">
        <f t="shared" si="3"/>
        <v>6397.3063612167625</v>
      </c>
      <c r="G17" s="128">
        <f t="shared" si="4"/>
        <v>0</v>
      </c>
      <c r="H17" s="147">
        <f>SUM(F17:G17)</f>
        <v>6397.3063612167625</v>
      </c>
      <c r="I17" s="130"/>
    </row>
    <row r="18" spans="1:12" ht="32.25" customHeight="1" thickBot="1">
      <c r="A18" s="127" t="s">
        <v>1161</v>
      </c>
      <c r="B18" s="127"/>
      <c r="C18" s="137"/>
      <c r="D18" s="131"/>
      <c r="E18" s="144"/>
      <c r="F18" s="148">
        <f>SUM(F7:F17)</f>
        <v>4413.7066505882149</v>
      </c>
      <c r="G18" s="132">
        <f>SUM(G7:G17)</f>
        <v>2584.75</v>
      </c>
      <c r="H18" s="149">
        <f>SUM(H7:H17)</f>
        <v>6998.4566505882149</v>
      </c>
      <c r="I18" s="133">
        <f>SUM(G18)/H18</f>
        <v>0.36933142963495441</v>
      </c>
      <c r="J18" s="706" t="s">
        <v>1162</v>
      </c>
      <c r="K18" s="707"/>
      <c r="L18" s="707"/>
    </row>
    <row r="19" spans="1:12">
      <c r="F19" s="111"/>
      <c r="G19" s="110"/>
    </row>
    <row r="20" spans="1:12">
      <c r="F20" s="111"/>
      <c r="G20" s="110"/>
    </row>
    <row r="21" spans="1:12">
      <c r="A21" s="123" t="s">
        <v>1163</v>
      </c>
      <c r="B21" s="124" t="s">
        <v>1164</v>
      </c>
      <c r="C21" s="136">
        <f>IF(C16&lt;0,C16,0)</f>
        <v>-1133.4855489305987</v>
      </c>
      <c r="D21" s="142">
        <f>Fuel!G28</f>
        <v>1.75</v>
      </c>
      <c r="E21" s="143">
        <v>0</v>
      </c>
      <c r="F21" s="129">
        <f>$C21*D21</f>
        <v>-1983.5997106285477</v>
      </c>
      <c r="G21" s="128">
        <f>IF(C21&gt;0,C21*E21,0)</f>
        <v>0</v>
      </c>
      <c r="H21" s="147">
        <f>SUM(F21:G21)</f>
        <v>-1983.5997106285477</v>
      </c>
      <c r="I21" s="130"/>
    </row>
    <row r="22" spans="1:12" ht="16" thickBot="1">
      <c r="A22" s="127" t="s">
        <v>1165</v>
      </c>
      <c r="B22" s="127"/>
      <c r="C22" s="137"/>
      <c r="D22" s="131"/>
      <c r="E22" s="144"/>
      <c r="F22" s="148">
        <f>F18-F21</f>
        <v>6397.3063612167625</v>
      </c>
      <c r="G22" s="148">
        <f t="shared" ref="G22:H22" si="7">G18-G21</f>
        <v>2584.75</v>
      </c>
      <c r="H22" s="148">
        <f t="shared" si="7"/>
        <v>8982.0563612167625</v>
      </c>
      <c r="I22" s="153">
        <f>SUM(G22)/H22</f>
        <v>0.28776817869464522</v>
      </c>
      <c r="J22" s="708" t="s">
        <v>1166</v>
      </c>
      <c r="K22" s="709"/>
      <c r="L22" s="709"/>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453125" customWidth="1"/>
  </cols>
  <sheetData>
    <row r="1" spans="1:13" s="1" customFormat="1" ht="18" customHeight="1">
      <c r="A1" s="12" t="s">
        <v>1167</v>
      </c>
      <c r="B1" s="14"/>
      <c r="C1" s="381"/>
      <c r="D1" s="381"/>
      <c r="E1" s="381"/>
      <c r="F1" s="15"/>
      <c r="G1" s="15"/>
      <c r="H1" s="381"/>
      <c r="I1" s="381"/>
      <c r="J1" s="381"/>
      <c r="K1" s="154"/>
      <c r="L1" s="154"/>
      <c r="M1" s="154"/>
    </row>
    <row r="2" spans="1:13" ht="12.75" customHeight="1">
      <c r="A2" s="115" t="s">
        <v>1168</v>
      </c>
      <c r="L2" s="115" t="s">
        <v>1169</v>
      </c>
    </row>
    <row r="3" spans="1:13" ht="12.75" customHeight="1">
      <c r="M3" s="115"/>
    </row>
    <row r="4" spans="1:13" ht="12.75" customHeight="1">
      <c r="A4" t="s">
        <v>1170</v>
      </c>
      <c r="J4" s="43">
        <v>0</v>
      </c>
      <c r="K4" s="115"/>
      <c r="L4" s="115" t="s">
        <v>1171</v>
      </c>
    </row>
    <row r="5" spans="1:13" ht="12.75" customHeight="1">
      <c r="B5" t="s">
        <v>1172</v>
      </c>
      <c r="J5" s="44"/>
      <c r="K5" s="115"/>
    </row>
    <row r="6" spans="1:13" ht="12.75" customHeight="1">
      <c r="A6" t="s">
        <v>1173</v>
      </c>
      <c r="J6" s="43">
        <v>0</v>
      </c>
      <c r="K6" s="115"/>
      <c r="L6" s="115" t="s">
        <v>1174</v>
      </c>
    </row>
    <row r="7" spans="1:13" ht="12.75" customHeight="1">
      <c r="A7" t="s">
        <v>1175</v>
      </c>
      <c r="J7" s="43">
        <v>0</v>
      </c>
      <c r="K7" s="115"/>
      <c r="L7" s="115" t="s">
        <v>1176</v>
      </c>
    </row>
    <row r="8" spans="1:13" ht="12.75" customHeight="1">
      <c r="A8" t="s">
        <v>1177</v>
      </c>
      <c r="J8" s="58">
        <f>IF(J6=0,0,J7/J6)</f>
        <v>0</v>
      </c>
      <c r="K8" s="115"/>
      <c r="L8" s="115" t="s">
        <v>1178</v>
      </c>
    </row>
    <row r="9" spans="1:13" ht="12.75" customHeight="1">
      <c r="A9" t="s">
        <v>1179</v>
      </c>
      <c r="J9" s="67">
        <v>0</v>
      </c>
      <c r="K9" s="115"/>
      <c r="L9" s="115" t="s">
        <v>1180</v>
      </c>
    </row>
    <row r="10" spans="1:13" ht="12.75" customHeight="1">
      <c r="A10" t="s">
        <v>1181</v>
      </c>
      <c r="J10" s="68">
        <v>0</v>
      </c>
      <c r="K10" s="115"/>
      <c r="L10" s="115" t="s">
        <v>1182</v>
      </c>
    </row>
    <row r="11" spans="1:13" ht="12.75" customHeight="1">
      <c r="A11" t="s">
        <v>1183</v>
      </c>
      <c r="J11" s="49">
        <f>J4*J6*J9*J10</f>
        <v>0</v>
      </c>
      <c r="K11" s="115"/>
      <c r="L11" s="115" t="s">
        <v>1184</v>
      </c>
    </row>
    <row r="12" spans="1:13" ht="12.75" customHeight="1">
      <c r="A12" t="s">
        <v>1185</v>
      </c>
      <c r="J12" s="58">
        <f>J11/(WH!F50+WH!G54-WH!F98-WH!F99)</f>
        <v>0</v>
      </c>
      <c r="K12" s="115"/>
      <c r="L12" s="115" t="s">
        <v>1186</v>
      </c>
    </row>
    <row r="13" spans="1:13" ht="12.75" customHeight="1">
      <c r="A13" t="s">
        <v>754</v>
      </c>
      <c r="J13" s="58">
        <f>IF(J12&gt;0,1-EXP(-1/J12),0)</f>
        <v>0</v>
      </c>
      <c r="K13" s="115"/>
      <c r="L13" s="115" t="s">
        <v>1187</v>
      </c>
    </row>
    <row r="14" spans="1:13" ht="12.75" customHeight="1">
      <c r="B14" t="s">
        <v>1188</v>
      </c>
      <c r="H14" s="43" t="s">
        <v>245</v>
      </c>
      <c r="I14" s="44"/>
      <c r="J14" s="44">
        <f>VLOOKUP(H14,A33:B36,2,FALSE)</f>
        <v>1</v>
      </c>
      <c r="K14" s="115"/>
    </row>
    <row r="15" spans="1:13" ht="12.75" customHeight="1">
      <c r="B15" t="s">
        <v>1189</v>
      </c>
      <c r="H15" s="44"/>
      <c r="I15" s="44"/>
      <c r="J15" s="58">
        <f>IF(J14,J13,J13*0.9)</f>
        <v>0</v>
      </c>
      <c r="K15" s="115"/>
    </row>
    <row r="16" spans="1:13" ht="12.75" customHeight="1">
      <c r="A16" t="s">
        <v>1190</v>
      </c>
      <c r="H16" s="44"/>
      <c r="I16" s="44"/>
      <c r="J16" s="50">
        <f>IF(J8&lt;20, 0.87 - 0.034*J8 + 0.0006*J8^2, 0.604-0.0087*J8)</f>
        <v>0.87</v>
      </c>
      <c r="K16" s="115"/>
      <c r="L16" t="s">
        <v>1191</v>
      </c>
    </row>
    <row r="17" spans="1:12" ht="12.75" customHeight="1">
      <c r="A17" t="s">
        <v>1192</v>
      </c>
      <c r="H17" s="44"/>
      <c r="I17" s="44"/>
      <c r="J17" s="43">
        <v>0</v>
      </c>
      <c r="K17" s="115"/>
      <c r="L17" t="s">
        <v>1193</v>
      </c>
    </row>
    <row r="18" spans="1:12" ht="12.75" customHeight="1">
      <c r="B18" t="s">
        <v>1194</v>
      </c>
      <c r="H18" s="44"/>
      <c r="I18" s="44"/>
      <c r="J18" s="44"/>
      <c r="K18" s="115"/>
    </row>
    <row r="19" spans="1:12" ht="12.75" customHeight="1">
      <c r="A19" t="s">
        <v>1195</v>
      </c>
      <c r="H19" s="44"/>
      <c r="I19" s="43" t="s">
        <v>245</v>
      </c>
      <c r="J19" s="44">
        <f>VLOOKUP(I19,A33:B35,2,FALSE)</f>
        <v>1</v>
      </c>
    </row>
    <row r="20" spans="1:12" ht="12.75" customHeight="1">
      <c r="B20" t="s">
        <v>1196</v>
      </c>
      <c r="J20" s="44">
        <f>cylVol</f>
        <v>120</v>
      </c>
      <c r="K20" s="115" t="str">
        <f>IF(AND(J19,J20&lt;J17),"Error: solar storage within combined cylinder can't exceed total volume.", "-")</f>
        <v>-</v>
      </c>
      <c r="L20" s="115" t="s">
        <v>1197</v>
      </c>
    </row>
    <row r="21" spans="1:12" ht="12.75" customHeight="1">
      <c r="A21" t="s">
        <v>1198</v>
      </c>
      <c r="J21" s="44">
        <f>IF(J19,J17+0.3*(J20-J17),J17)</f>
        <v>36</v>
      </c>
      <c r="K21" s="115"/>
      <c r="L21" s="115" t="s">
        <v>1199</v>
      </c>
    </row>
    <row r="22" spans="1:12" ht="12.75" customHeight="1">
      <c r="A22" s="154" t="s">
        <v>1200</v>
      </c>
      <c r="J22" s="49">
        <f>WH!F47</f>
        <v>123.43092281667526</v>
      </c>
      <c r="L22" s="115" t="s">
        <v>1201</v>
      </c>
    </row>
    <row r="23" spans="1:12" ht="12.75" customHeight="1">
      <c r="A23" t="s">
        <v>1202</v>
      </c>
      <c r="J23" s="58">
        <f>J21/J22</f>
        <v>0.29166111034808267</v>
      </c>
      <c r="L23" s="115" t="s">
        <v>1203</v>
      </c>
    </row>
    <row r="24" spans="1:12" ht="12.75" customHeight="1">
      <c r="A24" t="s">
        <v>1204</v>
      </c>
      <c r="J24" s="58">
        <f>IF(J23=0,0,1+0.2*LN(J23))</f>
        <v>0.75356745365815292</v>
      </c>
      <c r="L24" s="115" t="s">
        <v>1205</v>
      </c>
    </row>
    <row r="25" spans="1:12" ht="12.75" customHeight="1">
      <c r="A25" t="s">
        <v>599</v>
      </c>
      <c r="J25" s="51">
        <f>J11*J15*J16*J24</f>
        <v>0</v>
      </c>
      <c r="L25" s="115" t="s">
        <v>1206</v>
      </c>
    </row>
    <row r="26" spans="1:12" ht="12.75" customHeight="1">
      <c r="J26" s="4"/>
    </row>
    <row r="27" spans="1:12" ht="12.75" customHeight="1">
      <c r="A27" t="s">
        <v>1207</v>
      </c>
      <c r="J27" s="4"/>
    </row>
    <row r="28" spans="1:12" ht="12.75" customHeight="1">
      <c r="A28" t="s">
        <v>1208</v>
      </c>
    </row>
    <row r="29" spans="1:12" ht="12.75" customHeight="1">
      <c r="A29" s="35" t="s">
        <v>1209</v>
      </c>
      <c r="B29" s="35"/>
      <c r="C29" s="35"/>
      <c r="D29" s="35"/>
      <c r="E29" s="35"/>
      <c r="F29" s="35"/>
      <c r="G29" s="35"/>
      <c r="H29" s="35"/>
      <c r="I29" s="35"/>
      <c r="J29" s="35"/>
      <c r="K29" s="35"/>
    </row>
    <row r="30" spans="1:12" ht="12.75" customHeight="1"/>
    <row r="31" spans="1:12" ht="12.75" customHeight="1">
      <c r="A31" s="115"/>
      <c r="B31" s="115"/>
    </row>
    <row r="32" spans="1:12" ht="12.75" customHeight="1">
      <c r="A32" s="3" t="s">
        <v>1210</v>
      </c>
    </row>
    <row r="33" spans="1:2" ht="12.75" customHeight="1">
      <c r="A33" s="115" t="s">
        <v>250</v>
      </c>
      <c r="B33">
        <v>0</v>
      </c>
    </row>
    <row r="34" spans="1:2" ht="12.75" customHeight="1">
      <c r="A34" t="s">
        <v>245</v>
      </c>
      <c r="B34">
        <v>1</v>
      </c>
    </row>
    <row r="35" spans="1:2" ht="12.75" customHeight="1">
      <c r="A35" t="s">
        <v>246</v>
      </c>
      <c r="B35">
        <v>0</v>
      </c>
    </row>
    <row r="36" spans="1:2">
      <c r="A36" t="s">
        <v>996</v>
      </c>
      <c r="B36">
        <v>1</v>
      </c>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B15" sqref="B15"/>
    </sheetView>
  </sheetViews>
  <sheetFormatPr defaultColWidth="9.1796875" defaultRowHeight="12.5"/>
  <cols>
    <col min="1" max="1" width="7.453125" style="87" customWidth="1"/>
    <col min="2" max="2" width="10.1796875" style="87" customWidth="1"/>
    <col min="3" max="3" width="10.54296875" style="87" customWidth="1"/>
    <col min="4" max="5" width="9.1796875" style="87"/>
    <col min="6" max="6" width="17.1796875" style="87" customWidth="1"/>
    <col min="7" max="12" width="9.1796875" style="87"/>
    <col min="13" max="13" width="38.453125" style="87" customWidth="1"/>
    <col min="14" max="14" width="38.1796875" style="87" customWidth="1"/>
    <col min="15" max="16384" width="9.1796875" style="87"/>
  </cols>
  <sheetData>
    <row r="4" spans="2:14" ht="21.75" customHeight="1">
      <c r="C4" s="88"/>
      <c r="D4" s="88"/>
      <c r="E4" s="88"/>
      <c r="F4" s="88"/>
      <c r="H4" s="88"/>
      <c r="I4" s="88"/>
      <c r="J4" s="88"/>
      <c r="K4" s="88"/>
      <c r="L4" s="88"/>
    </row>
    <row r="5" spans="2:14" ht="25">
      <c r="F5" s="89" t="s">
        <v>129</v>
      </c>
    </row>
    <row r="6" spans="2:14" s="90" customFormat="1" ht="18">
      <c r="C6" s="91"/>
      <c r="D6" s="91"/>
      <c r="E6" s="91"/>
      <c r="F6" s="92" t="s">
        <v>130</v>
      </c>
      <c r="H6" s="91"/>
      <c r="I6" s="91"/>
      <c r="J6" s="91"/>
      <c r="K6" s="91"/>
      <c r="L6" s="91"/>
    </row>
    <row r="8" spans="2:14" ht="21.75" customHeight="1">
      <c r="C8" s="91"/>
      <c r="D8" s="91"/>
      <c r="E8" s="91"/>
      <c r="F8" s="92" t="s">
        <v>131</v>
      </c>
      <c r="H8" s="91"/>
      <c r="I8" s="91"/>
      <c r="J8" s="91"/>
      <c r="K8" s="91"/>
      <c r="L8" s="91"/>
    </row>
    <row r="9" spans="2:14" ht="16.5" customHeight="1">
      <c r="F9" s="492"/>
    </row>
    <row r="10" spans="2:14" ht="27.65" customHeight="1">
      <c r="F10" s="661">
        <v>44927</v>
      </c>
    </row>
    <row r="11" spans="2:14" ht="15.5">
      <c r="B11" s="626"/>
      <c r="C11" s="626"/>
      <c r="D11" s="626"/>
      <c r="E11" s="626"/>
      <c r="F11" s="627"/>
      <c r="G11" s="626"/>
      <c r="H11" s="626"/>
      <c r="I11" s="626"/>
      <c r="J11" s="626"/>
      <c r="K11" s="626"/>
      <c r="L11" s="626"/>
      <c r="M11" s="626"/>
      <c r="N11" s="626"/>
    </row>
    <row r="12" spans="2:14" ht="15.5">
      <c r="B12" s="626">
        <f>'Development '!A2</f>
        <v>0</v>
      </c>
      <c r="C12" s="626" t="str">
        <f>'Development '!B2</f>
        <v>Rev 1.1</v>
      </c>
      <c r="D12" s="626" t="str">
        <f>'Development '!C2</f>
        <v>Correction in Group Heating PV calculation</v>
      </c>
      <c r="F12" s="88"/>
      <c r="M12" s="626"/>
      <c r="N12" s="626"/>
    </row>
    <row r="13" spans="2:14" ht="15.5">
      <c r="B13" s="626">
        <f>'Development '!A3</f>
        <v>0</v>
      </c>
      <c r="C13" s="626" t="str">
        <f>'Development '!B3</f>
        <v>Rev 1.2</v>
      </c>
      <c r="D13" s="626" t="str">
        <f>'Development '!C3</f>
        <v>Correction in Renewable Energy Ratio Calculation for Group Schemes and Heat Pumps tested to EN14511</v>
      </c>
      <c r="F13" s="88"/>
      <c r="M13" s="626"/>
      <c r="N13" s="626"/>
    </row>
    <row r="14" spans="2:14" ht="15.5">
      <c r="B14" s="629">
        <v>44551</v>
      </c>
      <c r="C14" s="87" t="s">
        <v>9</v>
      </c>
      <c r="D14" s="87" t="s">
        <v>132</v>
      </c>
      <c r="F14" s="88"/>
      <c r="M14" s="626"/>
      <c r="N14" s="626"/>
    </row>
    <row r="15" spans="2:14" ht="15.5">
      <c r="B15" s="629">
        <f>'Development '!A5</f>
        <v>44957</v>
      </c>
      <c r="C15" s="87" t="str">
        <f>'Development '!B5</f>
        <v>Rev 1.4</v>
      </c>
      <c r="D15" s="87" t="str">
        <f>'Development '!C5</f>
        <v>Change in Electricity factors, Fuel tab, as per description document; Vent tab fix in cell H55 (formula for ac/h for positive input vent from loft); Code tab added Cooling</v>
      </c>
      <c r="F15" s="88"/>
    </row>
    <row r="16" spans="2:14" ht="15.5">
      <c r="F16" s="88"/>
    </row>
    <row r="17" spans="6:6" ht="15.5">
      <c r="F17" s="88"/>
    </row>
    <row r="18" spans="6:6" ht="15.5">
      <c r="F18" s="88"/>
    </row>
    <row r="19" spans="6:6" ht="15.5">
      <c r="F19" s="88"/>
    </row>
    <row r="20" spans="6:6" ht="15.5">
      <c r="F20" s="88"/>
    </row>
    <row r="21" spans="6:6" ht="15.5">
      <c r="F21" s="88"/>
    </row>
    <row r="22" spans="6:6" ht="15.5">
      <c r="F22" s="88"/>
    </row>
    <row r="23" spans="6:6" ht="15.5">
      <c r="F23" s="88"/>
    </row>
    <row r="24" spans="6:6" ht="15.5">
      <c r="F24" s="88"/>
    </row>
    <row r="25" spans="6:6" ht="15.5">
      <c r="F25" s="88"/>
    </row>
    <row r="26" spans="6:6" ht="15.5">
      <c r="F26" s="88"/>
    </row>
    <row r="27" spans="6:6" ht="15.5">
      <c r="F27" s="88"/>
    </row>
    <row r="28" spans="6:6" ht="15.5">
      <c r="F28" s="88"/>
    </row>
    <row r="29" spans="6:6" ht="15.5">
      <c r="F29" s="88"/>
    </row>
    <row r="30" spans="6:6" ht="15.5">
      <c r="F30" s="88"/>
    </row>
    <row r="31" spans="6:6" ht="15.5">
      <c r="F31" s="88"/>
    </row>
    <row r="32" spans="6:6" ht="15.5">
      <c r="F32" s="88"/>
    </row>
    <row r="34" spans="2:4">
      <c r="D34" s="93"/>
    </row>
    <row r="37" spans="2:4">
      <c r="B37" s="94"/>
    </row>
    <row r="38" spans="2:4">
      <c r="B38" s="94"/>
    </row>
  </sheetData>
  <sheetProtection algorithmName="SHA-512" hashValue="KBxTEChATwGwrjD3P33i0Lpz4PinFcDvYQnrzXjKCvRChskIrxLCM1scZVaxpWzkKIqLBqhNCyxshYxFw9pOjA==" saltValue="W+UbSWDajI7lIQd65zHqUQ=="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12" t="s">
        <v>1211</v>
      </c>
      <c r="B1" s="14"/>
      <c r="C1" s="381"/>
      <c r="D1" s="381"/>
      <c r="E1" s="381"/>
      <c r="F1" s="15"/>
      <c r="G1" s="15"/>
      <c r="H1" s="381"/>
      <c r="I1" s="381"/>
    </row>
    <row r="2" spans="1:9" ht="13">
      <c r="A2" s="3" t="s">
        <v>1212</v>
      </c>
      <c r="B2" s="3"/>
    </row>
    <row r="3" spans="1:9">
      <c r="A3" s="115" t="s">
        <v>1213</v>
      </c>
    </row>
    <row r="5" spans="1:9" ht="14.5">
      <c r="A5" t="s">
        <v>266</v>
      </c>
      <c r="G5" s="49">
        <f>volume</f>
        <v>321.3</v>
      </c>
    </row>
    <row r="6" spans="1:9">
      <c r="A6" t="s">
        <v>1214</v>
      </c>
      <c r="G6" s="43">
        <v>0.8</v>
      </c>
    </row>
    <row r="7" spans="1:9">
      <c r="A7" t="s">
        <v>1215</v>
      </c>
      <c r="G7" s="49">
        <f>0.33*G6*G5</f>
        <v>84.8232</v>
      </c>
    </row>
    <row r="8" spans="1:9">
      <c r="A8" t="s">
        <v>1216</v>
      </c>
      <c r="G8" s="49">
        <f>Fab!F24</f>
        <v>67.537785714285704</v>
      </c>
    </row>
    <row r="9" spans="1:9">
      <c r="A9" t="s">
        <v>1217</v>
      </c>
      <c r="G9" s="49">
        <f>G7+G8</f>
        <v>152.3609857142857</v>
      </c>
    </row>
    <row r="10" spans="1:9">
      <c r="G10" s="44"/>
    </row>
    <row r="11" spans="1:9" ht="14.5">
      <c r="A11" t="s">
        <v>1218</v>
      </c>
      <c r="G11" s="49">
        <f>Win!F50</f>
        <v>941.50860299999988</v>
      </c>
    </row>
    <row r="12" spans="1:9">
      <c r="A12" t="s">
        <v>1219</v>
      </c>
      <c r="G12" s="49">
        <f>Light!E70</f>
        <v>503.54221759880693</v>
      </c>
    </row>
    <row r="13" spans="1:9">
      <c r="A13" t="s">
        <v>1220</v>
      </c>
      <c r="G13" s="49">
        <f>G11+G12</f>
        <v>1445.0508205988067</v>
      </c>
    </row>
    <row r="14" spans="1:9">
      <c r="A14" t="s">
        <v>1221</v>
      </c>
      <c r="G14" s="610">
        <f>IF(G9=0,0,G13/G9)</f>
        <v>9.484388761494575</v>
      </c>
    </row>
    <row r="15" spans="1:9">
      <c r="A15" t="s">
        <v>1222</v>
      </c>
      <c r="G15" s="43">
        <v>15</v>
      </c>
      <c r="H15" t="s">
        <v>1223</v>
      </c>
    </row>
    <row r="16" spans="1:9" ht="14.5">
      <c r="A16" t="s">
        <v>1224</v>
      </c>
      <c r="G16" s="58">
        <f>HtUse!G11</f>
        <v>0.2</v>
      </c>
    </row>
    <row r="17" spans="1:7" ht="13">
      <c r="B17" s="623" t="s">
        <v>1225</v>
      </c>
      <c r="G17" s="58"/>
    </row>
    <row r="18" spans="1:7">
      <c r="A18" t="s">
        <v>1226</v>
      </c>
      <c r="G18" s="610">
        <f>IF(G16&gt;=0.28,0,2-7*G16)</f>
        <v>0.59999999999999987</v>
      </c>
    </row>
    <row r="19" spans="1:7" ht="13">
      <c r="A19" t="s">
        <v>1227</v>
      </c>
      <c r="G19" s="624">
        <f>G15+G14+G18</f>
        <v>25.084388761494576</v>
      </c>
    </row>
    <row r="22" spans="1:7" ht="13">
      <c r="A22" s="3" t="s">
        <v>1228</v>
      </c>
    </row>
    <row r="23" spans="1:7">
      <c r="A23" t="s">
        <v>360</v>
      </c>
      <c r="B23" s="386">
        <v>78</v>
      </c>
      <c r="C23" s="4"/>
    </row>
    <row r="24" spans="1:7">
      <c r="A24" t="s">
        <v>388</v>
      </c>
      <c r="B24" s="386">
        <v>93</v>
      </c>
      <c r="C24" s="4"/>
    </row>
    <row r="25" spans="1:7">
      <c r="A25" t="s">
        <v>358</v>
      </c>
      <c r="B25" s="386">
        <v>111</v>
      </c>
      <c r="C25" s="4"/>
    </row>
    <row r="26" spans="1:7">
      <c r="A26" t="s">
        <v>361</v>
      </c>
      <c r="B26" s="386">
        <v>115</v>
      </c>
      <c r="C26" s="4"/>
    </row>
    <row r="27" spans="1:7">
      <c r="A27" t="s">
        <v>359</v>
      </c>
      <c r="B27" s="386">
        <v>110</v>
      </c>
      <c r="C27" s="4"/>
    </row>
    <row r="28" spans="1:7">
      <c r="A28" t="s">
        <v>362</v>
      </c>
      <c r="B28" s="386">
        <v>185</v>
      </c>
      <c r="C28" s="4"/>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3" workbookViewId="0">
      <selection activeCell="B16" sqref="B16"/>
    </sheetView>
  </sheetViews>
  <sheetFormatPr defaultColWidth="9.1796875" defaultRowHeight="15.5"/>
  <cols>
    <col min="1" max="1" width="65.54296875" style="110" customWidth="1"/>
    <col min="2" max="2" width="43.1796875" style="110" customWidth="1"/>
    <col min="3" max="3" width="17.54296875" style="110" customWidth="1"/>
    <col min="4" max="4" width="18.54296875" style="111" customWidth="1"/>
    <col min="5" max="5" width="18" style="111" customWidth="1"/>
    <col min="6" max="6" width="19.54296875" style="111" customWidth="1"/>
    <col min="7" max="7" width="12.81640625" style="110" customWidth="1"/>
    <col min="8" max="8" width="27.453125" style="111" customWidth="1"/>
    <col min="9" max="9" width="25.54296875" style="186" customWidth="1"/>
    <col min="10" max="10" width="25.54296875" style="110" customWidth="1"/>
    <col min="11" max="13" width="25.54296875" style="186" customWidth="1"/>
    <col min="14" max="14" width="11.453125" style="110" customWidth="1"/>
    <col min="15" max="22" width="9.1796875" style="110"/>
    <col min="23" max="23" width="35.54296875" style="110" customWidth="1"/>
    <col min="24" max="16384" width="9.1796875" style="110"/>
  </cols>
  <sheetData>
    <row r="1" spans="1:157" ht="24.75" customHeight="1">
      <c r="A1" s="12" t="s">
        <v>1229</v>
      </c>
      <c r="B1" s="14"/>
      <c r="C1" s="381"/>
      <c r="D1" s="381"/>
      <c r="E1" s="381"/>
      <c r="F1" s="15"/>
      <c r="G1" s="15"/>
      <c r="H1" s="381"/>
      <c r="I1" s="381"/>
      <c r="J1" s="235"/>
      <c r="K1" s="234"/>
      <c r="L1" s="235"/>
      <c r="M1" s="234"/>
      <c r="N1" s="222" t="s">
        <v>1230</v>
      </c>
      <c r="O1" s="222" t="s">
        <v>245</v>
      </c>
      <c r="P1" s="222" t="s">
        <v>1007</v>
      </c>
      <c r="Q1" s="222"/>
      <c r="R1" s="222"/>
      <c r="S1" s="222" t="s">
        <v>1231</v>
      </c>
      <c r="T1" s="222"/>
      <c r="U1" s="110" t="s">
        <v>1232</v>
      </c>
      <c r="V1" s="222"/>
      <c r="W1" s="110" t="s">
        <v>187</v>
      </c>
      <c r="X1" s="222"/>
      <c r="Y1" s="222"/>
      <c r="Z1" s="222" t="s">
        <v>1233</v>
      </c>
      <c r="AA1" s="222"/>
      <c r="AB1" s="222" t="s">
        <v>245</v>
      </c>
      <c r="AC1" s="222"/>
      <c r="AD1" s="222" t="s">
        <v>329</v>
      </c>
      <c r="AE1" s="222"/>
      <c r="AF1" s="222"/>
      <c r="AG1" s="222" t="s">
        <v>1234</v>
      </c>
      <c r="AH1" s="222"/>
      <c r="AI1" s="222"/>
      <c r="AJ1" s="222"/>
      <c r="AK1" s="222"/>
      <c r="AL1" t="s">
        <v>1235</v>
      </c>
      <c r="AM1" s="222" t="s">
        <v>1236</v>
      </c>
      <c r="AN1" s="222">
        <f>IF(B14="I.S. EN 14825",IF(D24="",0,1),0)</f>
        <v>0</v>
      </c>
      <c r="AO1" s="222"/>
      <c r="AP1" s="222">
        <v>8</v>
      </c>
      <c r="AQ1" s="222"/>
      <c r="AR1" s="222" t="s">
        <v>1237</v>
      </c>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row>
    <row r="2" spans="1:157" ht="19" thickBot="1">
      <c r="A2" s="596" t="s">
        <v>1238</v>
      </c>
      <c r="B2" s="596" t="s">
        <v>1239</v>
      </c>
      <c r="C2" s="596" t="s">
        <v>1240</v>
      </c>
      <c r="D2" s="710" t="s">
        <v>1241</v>
      </c>
      <c r="E2" s="710"/>
      <c r="F2" s="710"/>
      <c r="G2" s="710"/>
      <c r="H2" s="597"/>
      <c r="I2" s="598"/>
      <c r="J2" s="225"/>
      <c r="K2" s="217"/>
      <c r="L2" s="217"/>
      <c r="M2" s="217"/>
      <c r="N2" s="222" t="s">
        <v>1242</v>
      </c>
      <c r="O2" s="222" t="s">
        <v>246</v>
      </c>
      <c r="P2" s="222" t="s">
        <v>1243</v>
      </c>
      <c r="Q2" s="222"/>
      <c r="R2" s="222"/>
      <c r="S2" s="222" t="s">
        <v>1244</v>
      </c>
      <c r="T2" s="222"/>
      <c r="U2" s="110" t="s">
        <v>1245</v>
      </c>
      <c r="V2" s="222"/>
      <c r="W2" s="110" t="s">
        <v>808</v>
      </c>
      <c r="X2" s="222">
        <f>B31</f>
        <v>1.75</v>
      </c>
      <c r="Y2" s="222"/>
      <c r="Z2" s="222" t="s">
        <v>1246</v>
      </c>
      <c r="AA2" s="222"/>
      <c r="AB2" s="222" t="s">
        <v>246</v>
      </c>
      <c r="AC2" s="222"/>
      <c r="AD2" s="222" t="s">
        <v>1247</v>
      </c>
      <c r="AE2" s="222"/>
      <c r="AF2" s="222"/>
      <c r="AG2" s="222" t="s">
        <v>1248</v>
      </c>
      <c r="AH2" s="222"/>
      <c r="AI2" s="222"/>
      <c r="AJ2" s="222"/>
      <c r="AK2" s="222"/>
      <c r="AL2" t="s">
        <v>1249</v>
      </c>
      <c r="AM2" s="222"/>
      <c r="AN2" s="222">
        <f>IF(B14="I.S. EN 14825",IF(D42="",0,1),0)</f>
        <v>0</v>
      </c>
      <c r="AO2" s="222"/>
      <c r="AP2" s="222">
        <v>16</v>
      </c>
      <c r="AQ2" s="222"/>
      <c r="AR2" s="222" t="s">
        <v>1250</v>
      </c>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row>
    <row r="3" spans="1:157" ht="35.25" customHeight="1">
      <c r="A3" s="232" t="s">
        <v>1251</v>
      </c>
      <c r="B3" s="372">
        <f>hlc</f>
        <v>126.47930714821428</v>
      </c>
      <c r="C3" s="110" t="s">
        <v>1252</v>
      </c>
      <c r="D3" s="707" t="s">
        <v>1253</v>
      </c>
      <c r="E3" s="707"/>
      <c r="F3" s="707"/>
      <c r="G3" s="222"/>
      <c r="H3" s="228"/>
      <c r="I3" s="217"/>
      <c r="J3" s="225"/>
      <c r="K3" s="217"/>
      <c r="L3" s="217"/>
      <c r="M3" s="217"/>
      <c r="N3" s="222" t="s">
        <v>1254</v>
      </c>
      <c r="O3" s="222"/>
      <c r="P3" s="222" t="s">
        <v>1255</v>
      </c>
      <c r="Q3" s="222"/>
      <c r="R3" s="222"/>
      <c r="S3" s="222" t="s">
        <v>1256</v>
      </c>
      <c r="T3" s="222"/>
      <c r="U3" s="110" t="s">
        <v>1257</v>
      </c>
      <c r="V3" s="222"/>
      <c r="W3" s="110" t="s">
        <v>1258</v>
      </c>
      <c r="X3" s="222">
        <v>1.1000000000000001</v>
      </c>
      <c r="Y3" s="222"/>
      <c r="Z3" s="222"/>
      <c r="AA3" s="222"/>
      <c r="AB3" s="222"/>
      <c r="AC3" s="222"/>
      <c r="AD3" s="222" t="s">
        <v>57</v>
      </c>
      <c r="AE3" s="222"/>
      <c r="AF3" s="222"/>
      <c r="AG3" s="222" t="s">
        <v>1259</v>
      </c>
      <c r="AH3" s="222"/>
      <c r="AI3" s="222"/>
      <c r="AJ3" s="222"/>
      <c r="AK3" s="222"/>
      <c r="AL3" t="s">
        <v>1260</v>
      </c>
      <c r="AM3" s="222"/>
      <c r="AN3" s="222">
        <f>SUM(AN1:AN2)</f>
        <v>0</v>
      </c>
      <c r="AO3" s="222"/>
      <c r="AP3" s="222">
        <v>24</v>
      </c>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row>
    <row r="4" spans="1:157" ht="24.75" customHeight="1">
      <c r="A4" s="112" t="s">
        <v>1261</v>
      </c>
      <c r="B4" s="371">
        <f>IF(B5="No",(B3*(B19-B18)),(B3*B6/B7)*B8*(B19-B18))</f>
        <v>2750.9249304736604</v>
      </c>
      <c r="C4" s="110" t="s">
        <v>1262</v>
      </c>
      <c r="D4" s="707" t="s">
        <v>1263</v>
      </c>
      <c r="E4" s="707"/>
      <c r="F4" s="707"/>
      <c r="G4" s="222"/>
      <c r="H4" s="228"/>
      <c r="I4" s="217"/>
      <c r="J4" s="225"/>
      <c r="K4" s="217"/>
      <c r="L4" s="217"/>
      <c r="M4" s="217"/>
      <c r="N4" s="222" t="s">
        <v>1264</v>
      </c>
      <c r="O4" s="222"/>
      <c r="P4" s="222"/>
      <c r="Q4" s="222"/>
      <c r="R4" s="222"/>
      <c r="S4" s="222" t="s">
        <v>1265</v>
      </c>
      <c r="T4" s="222"/>
      <c r="U4" s="110" t="s">
        <v>1266</v>
      </c>
      <c r="V4" s="222"/>
      <c r="W4" s="110" t="s">
        <v>1267</v>
      </c>
      <c r="X4" s="222">
        <v>1.1000000000000001</v>
      </c>
      <c r="Y4" s="222"/>
      <c r="Z4" s="222"/>
      <c r="AA4" s="222"/>
      <c r="AB4" s="222"/>
      <c r="AC4" s="222"/>
      <c r="AD4" s="222" t="s">
        <v>56</v>
      </c>
      <c r="AE4" s="222"/>
      <c r="AF4" s="222"/>
      <c r="AG4" s="222" t="s">
        <v>1268</v>
      </c>
      <c r="AH4" s="222"/>
      <c r="AI4" s="222"/>
      <c r="AJ4" s="222"/>
      <c r="AK4" s="222"/>
      <c r="AL4" t="s">
        <v>1269</v>
      </c>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row>
    <row r="5" spans="1:157" ht="33" customHeight="1">
      <c r="A5" s="112" t="s">
        <v>1270</v>
      </c>
      <c r="B5" s="373" t="str">
        <f>IF(SH!I39=1,"No","Yes")</f>
        <v>No</v>
      </c>
      <c r="G5" s="222"/>
      <c r="H5" s="228"/>
      <c r="I5" s="217"/>
      <c r="J5" s="225"/>
      <c r="K5" s="217"/>
      <c r="L5" s="217"/>
      <c r="M5" s="217"/>
      <c r="N5" s="222"/>
      <c r="O5" s="222"/>
      <c r="P5" s="222"/>
      <c r="Q5" s="222"/>
      <c r="R5" s="222"/>
      <c r="S5" s="222" t="s">
        <v>1271</v>
      </c>
      <c r="T5" s="222"/>
      <c r="U5" s="110" t="s">
        <v>1272</v>
      </c>
      <c r="V5" s="222"/>
      <c r="W5" s="110" t="s">
        <v>1273</v>
      </c>
      <c r="X5" s="222">
        <v>1.1000000000000001</v>
      </c>
      <c r="Y5" s="222"/>
      <c r="Z5" s="222"/>
      <c r="AA5" s="222"/>
      <c r="AB5" s="222"/>
      <c r="AC5" s="222"/>
      <c r="AD5" s="222"/>
      <c r="AE5" s="222"/>
      <c r="AF5" s="222"/>
      <c r="AG5" s="222"/>
      <c r="AH5" s="222"/>
      <c r="AI5" s="222"/>
      <c r="AJ5" s="222"/>
      <c r="AK5" s="222"/>
      <c r="AL5" t="s">
        <v>1274</v>
      </c>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row>
    <row r="6" spans="1:157" ht="30" customHeight="1">
      <c r="A6" s="112" t="s">
        <v>1275</v>
      </c>
      <c r="B6" s="489">
        <f>IF(B5="Yes",SUM('ER2'!J26:J27)/100,0)</f>
        <v>0</v>
      </c>
      <c r="C6" s="110" t="s">
        <v>1276</v>
      </c>
      <c r="G6" s="222"/>
      <c r="H6" s="228"/>
      <c r="I6" s="217"/>
      <c r="J6" s="225"/>
      <c r="K6" s="217"/>
      <c r="L6" s="217"/>
      <c r="M6" s="217"/>
      <c r="N6" s="222"/>
      <c r="O6" s="222"/>
      <c r="P6" s="222"/>
      <c r="Q6" s="222"/>
      <c r="R6" s="222"/>
      <c r="S6" s="222" t="s">
        <v>1277</v>
      </c>
      <c r="T6" s="222"/>
      <c r="U6" s="110" t="s">
        <v>206</v>
      </c>
      <c r="V6" s="222"/>
      <c r="W6" s="110" t="s">
        <v>1102</v>
      </c>
      <c r="X6" s="222">
        <v>1.3</v>
      </c>
      <c r="Y6" s="222"/>
      <c r="Z6" s="222"/>
      <c r="AA6" s="222"/>
      <c r="AB6" s="222"/>
      <c r="AC6" s="222"/>
      <c r="AD6" s="222"/>
      <c r="AE6" s="222"/>
      <c r="AF6" s="222"/>
      <c r="AG6" s="222"/>
      <c r="AH6" s="222"/>
      <c r="AI6" s="222"/>
      <c r="AJ6" s="222"/>
      <c r="AK6" s="222"/>
      <c r="AL6" t="s">
        <v>1278</v>
      </c>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row>
    <row r="7" spans="1:157" ht="30" customHeight="1">
      <c r="A7" s="112" t="s">
        <v>1279</v>
      </c>
      <c r="B7" s="490">
        <f>IF(B5="Yes",tfa,0)</f>
        <v>0</v>
      </c>
      <c r="C7" s="110" t="s">
        <v>1280</v>
      </c>
      <c r="D7" s="707" t="s">
        <v>1281</v>
      </c>
      <c r="E7" s="707"/>
      <c r="F7" s="707"/>
      <c r="G7" s="222"/>
      <c r="H7" s="228"/>
      <c r="I7" s="217"/>
      <c r="J7" s="225"/>
      <c r="K7" s="217"/>
      <c r="L7" s="217"/>
      <c r="M7" s="217"/>
      <c r="N7" s="222"/>
      <c r="O7" s="222"/>
      <c r="P7" s="222"/>
      <c r="Q7" s="222"/>
      <c r="R7" s="222"/>
      <c r="S7" s="222" t="s">
        <v>1282</v>
      </c>
      <c r="T7" s="222"/>
      <c r="V7" s="222"/>
      <c r="W7" s="110" t="s">
        <v>1103</v>
      </c>
      <c r="X7" s="222">
        <v>1.34</v>
      </c>
      <c r="Y7" s="222"/>
      <c r="Z7" s="222"/>
      <c r="AA7" s="222"/>
      <c r="AB7" s="222"/>
      <c r="AC7" s="222"/>
      <c r="AD7" s="222"/>
      <c r="AE7" s="222"/>
      <c r="AF7" s="222"/>
      <c r="AG7" s="222"/>
      <c r="AH7" s="222"/>
      <c r="AI7" s="222"/>
      <c r="AJ7" s="222"/>
      <c r="AK7" s="222"/>
      <c r="AL7" t="s">
        <v>1283</v>
      </c>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row>
    <row r="8" spans="1:157" ht="30" customHeight="1">
      <c r="A8" s="233" t="s">
        <v>1284</v>
      </c>
      <c r="B8" s="491">
        <v>81</v>
      </c>
      <c r="C8" s="110" t="s">
        <v>1280</v>
      </c>
      <c r="G8" s="222"/>
      <c r="H8" s="228"/>
      <c r="I8" s="217"/>
      <c r="J8" s="225"/>
      <c r="K8" s="217"/>
      <c r="L8" s="217"/>
      <c r="M8" s="217"/>
      <c r="N8" s="222"/>
      <c r="O8" s="222"/>
      <c r="P8" s="222"/>
      <c r="Q8" s="222"/>
      <c r="R8" s="222"/>
      <c r="S8" s="222"/>
      <c r="T8" s="222"/>
      <c r="V8" s="222"/>
      <c r="W8" s="110" t="s">
        <v>1285</v>
      </c>
      <c r="X8" s="222">
        <v>1.1000000000000001</v>
      </c>
      <c r="Y8" s="222"/>
      <c r="Z8" s="222"/>
      <c r="AA8" s="222"/>
      <c r="AB8" s="222"/>
      <c r="AC8" s="222"/>
      <c r="AD8" s="222"/>
      <c r="AE8" s="222"/>
      <c r="AF8" s="222"/>
      <c r="AG8" s="222"/>
      <c r="AH8" s="222"/>
      <c r="AI8" s="222"/>
      <c r="AJ8" s="222"/>
      <c r="AK8" s="222"/>
      <c r="AL8" t="s">
        <v>1286</v>
      </c>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222"/>
      <c r="EO8" s="222"/>
      <c r="EP8" s="222"/>
      <c r="EQ8" s="222"/>
      <c r="ER8" s="222"/>
      <c r="ES8" s="222"/>
      <c r="ET8" s="222"/>
      <c r="EU8" s="222"/>
      <c r="EV8" s="222"/>
      <c r="EW8" s="222"/>
      <c r="EX8" s="222"/>
      <c r="EY8" s="222"/>
      <c r="EZ8" s="222"/>
      <c r="FA8" s="222"/>
    </row>
    <row r="9" spans="1:157" ht="30" customHeight="1">
      <c r="A9" s="713" t="str">
        <f>IF(N10=FALSE,"Heat Pump for Space Heating - PROCEED TO WATER HEATING","Heat Pump for Space Heating")</f>
        <v>Heat Pump for Space Heating - PROCEED TO WATER HEATING</v>
      </c>
      <c r="B9" s="713"/>
      <c r="C9" s="713"/>
      <c r="D9" s="713"/>
      <c r="E9" s="713"/>
      <c r="F9" s="713"/>
      <c r="G9" s="713"/>
      <c r="H9" s="713"/>
      <c r="I9" s="713"/>
      <c r="J9" s="225"/>
      <c r="K9" s="217"/>
      <c r="L9" s="217"/>
      <c r="M9" s="217"/>
      <c r="N9" s="222" t="s">
        <v>1287</v>
      </c>
      <c r="O9" s="222"/>
      <c r="P9" s="222"/>
      <c r="Q9" s="222"/>
      <c r="R9" s="222"/>
      <c r="S9" s="222"/>
      <c r="T9" s="222"/>
      <c r="U9" s="222"/>
      <c r="V9" s="222"/>
      <c r="W9" s="222" t="s">
        <v>1089</v>
      </c>
      <c r="X9" s="222">
        <v>1.2</v>
      </c>
      <c r="Y9" s="222"/>
      <c r="Z9" s="222"/>
      <c r="AA9" s="222"/>
      <c r="AB9" s="222"/>
      <c r="AC9" s="222"/>
      <c r="AD9" s="222"/>
      <c r="AE9" s="222"/>
      <c r="AF9" s="222"/>
      <c r="AG9" s="222"/>
      <c r="AH9" s="222"/>
      <c r="AI9" s="222"/>
      <c r="AJ9" s="222"/>
      <c r="AK9" s="222"/>
      <c r="AL9" t="s">
        <v>1288</v>
      </c>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row>
    <row r="10" spans="1:157" ht="30" customHeight="1">
      <c r="A10" s="232" t="s">
        <v>1289</v>
      </c>
      <c r="B10" s="231" t="s">
        <v>206</v>
      </c>
      <c r="D10" s="707" t="s">
        <v>1290</v>
      </c>
      <c r="E10" s="707"/>
      <c r="F10" s="707"/>
      <c r="G10" s="222"/>
      <c r="H10" s="228"/>
      <c r="I10" s="217"/>
      <c r="J10" s="225"/>
      <c r="K10" s="217"/>
      <c r="L10" s="217"/>
      <c r="M10" s="217"/>
      <c r="N10" s="222" t="b">
        <f>IF(B5="No",'ER1'!N2,'ER2'!P19)</f>
        <v>0</v>
      </c>
      <c r="O10" s="222" t="s">
        <v>1291</v>
      </c>
      <c r="P10" s="222"/>
      <c r="Q10" s="222"/>
      <c r="R10" s="222"/>
      <c r="S10" s="222"/>
      <c r="T10" s="222"/>
      <c r="U10" s="222"/>
      <c r="V10" s="222"/>
      <c r="W10" s="222" t="s">
        <v>1292</v>
      </c>
      <c r="X10" s="222">
        <v>1.1000000000000001</v>
      </c>
      <c r="Y10" s="222"/>
      <c r="Z10" s="222"/>
      <c r="AA10" s="222"/>
      <c r="AB10" s="222"/>
      <c r="AC10" s="222"/>
      <c r="AD10" s="222"/>
      <c r="AE10" s="222"/>
      <c r="AF10" s="222"/>
      <c r="AG10" s="222"/>
      <c r="AH10" s="222"/>
      <c r="AI10" s="222"/>
      <c r="AJ10" s="222"/>
      <c r="AK10" s="222"/>
      <c r="AL10" t="s">
        <v>1293</v>
      </c>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row>
    <row r="11" spans="1:157" ht="30" customHeight="1">
      <c r="A11" s="112" t="s">
        <v>1294</v>
      </c>
      <c r="B11" s="223" t="s">
        <v>206</v>
      </c>
      <c r="D11" s="707" t="s">
        <v>1290</v>
      </c>
      <c r="E11" s="707"/>
      <c r="F11" s="707"/>
      <c r="G11" s="222"/>
      <c r="H11" s="228"/>
      <c r="I11" s="217"/>
      <c r="J11" s="225"/>
      <c r="K11" s="217"/>
      <c r="L11" s="217"/>
      <c r="M11" s="217"/>
      <c r="N11" s="222" t="b">
        <f>IF(B5="No",'ER1'!N12,'ER2'!S19)</f>
        <v>0</v>
      </c>
      <c r="O11" s="222" t="s">
        <v>1295</v>
      </c>
      <c r="P11" s="222"/>
      <c r="Q11" s="222"/>
      <c r="R11" s="222"/>
      <c r="S11" s="222"/>
      <c r="T11" s="222"/>
      <c r="U11" s="222"/>
      <c r="V11" s="222"/>
      <c r="W11" s="222" t="s">
        <v>1296</v>
      </c>
      <c r="X11" s="222">
        <v>1.1000000000000001</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row>
    <row r="12" spans="1:157" ht="30" customHeight="1">
      <c r="A12" s="112" t="s">
        <v>1297</v>
      </c>
      <c r="B12" s="223" t="s">
        <v>1231</v>
      </c>
      <c r="D12" s="707" t="s">
        <v>1290</v>
      </c>
      <c r="E12" s="707"/>
      <c r="F12" s="707"/>
      <c r="G12" s="222"/>
      <c r="H12" s="228"/>
      <c r="I12" s="217"/>
      <c r="J12" s="225"/>
      <c r="K12" s="217"/>
      <c r="L12" s="217"/>
      <c r="M12" s="217"/>
      <c r="N12" s="222" t="b">
        <f>IF(AND(N10=TRUE,N11=TRUE),IF(B67="Same Heat Pump providing Space Heating and Domestic Hot Water",TRUE,FALSE),FALSE)</f>
        <v>0</v>
      </c>
      <c r="O12" s="222" t="s">
        <v>1298</v>
      </c>
      <c r="P12" s="222"/>
      <c r="Q12" s="222"/>
      <c r="R12" s="222"/>
      <c r="S12" s="222"/>
      <c r="T12" s="222"/>
      <c r="U12" s="222"/>
      <c r="V12" s="222"/>
      <c r="W12" s="222" t="s">
        <v>1299</v>
      </c>
      <c r="X12" s="222">
        <v>1.1000000000000001</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row>
    <row r="13" spans="1:157" ht="30" customHeight="1">
      <c r="A13" s="112" t="s">
        <v>1300</v>
      </c>
      <c r="B13" s="223" t="s">
        <v>1246</v>
      </c>
      <c r="D13" s="707" t="s">
        <v>1301</v>
      </c>
      <c r="E13" s="707"/>
      <c r="F13" s="707"/>
      <c r="G13" s="222"/>
      <c r="H13" s="228"/>
      <c r="I13" s="217"/>
      <c r="J13" s="225"/>
      <c r="K13" s="217"/>
      <c r="L13" s="217"/>
      <c r="M13" s="21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row>
    <row r="14" spans="1:157" ht="30" customHeight="1">
      <c r="A14" s="112" t="s">
        <v>1302</v>
      </c>
      <c r="B14" s="229" t="s">
        <v>1230</v>
      </c>
      <c r="D14" s="707" t="s">
        <v>1303</v>
      </c>
      <c r="E14" s="707"/>
      <c r="F14" s="707"/>
      <c r="G14" s="222"/>
      <c r="H14" s="228"/>
      <c r="I14" s="217"/>
      <c r="J14" s="225"/>
      <c r="K14" s="217"/>
      <c r="L14" s="217"/>
      <c r="M14" s="21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row>
    <row r="15" spans="1:157" ht="30" customHeight="1">
      <c r="A15" s="230" t="s">
        <v>1304</v>
      </c>
      <c r="B15" s="229">
        <v>-10</v>
      </c>
      <c r="C15" s="240" t="s">
        <v>1305</v>
      </c>
      <c r="D15" s="707" t="s">
        <v>1306</v>
      </c>
      <c r="E15" s="707"/>
      <c r="F15" s="707"/>
      <c r="G15" s="222"/>
      <c r="H15" s="228"/>
      <c r="I15" s="217"/>
      <c r="J15" s="225"/>
      <c r="K15" s="217"/>
      <c r="L15" s="217"/>
      <c r="M15" s="21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row>
    <row r="16" spans="1:157" ht="30" customHeight="1">
      <c r="A16" s="230" t="s">
        <v>1307</v>
      </c>
      <c r="B16" s="229">
        <v>35</v>
      </c>
      <c r="C16" s="240" t="s">
        <v>1305</v>
      </c>
      <c r="D16" s="707" t="s">
        <v>1306</v>
      </c>
      <c r="E16" s="707"/>
      <c r="F16" s="707"/>
      <c r="G16" s="222"/>
      <c r="H16" s="228"/>
      <c r="I16" s="217"/>
      <c r="J16" s="225"/>
      <c r="K16" s="217"/>
      <c r="L16" s="217"/>
      <c r="M16" s="21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row>
    <row r="17" spans="1:157" ht="30" customHeight="1">
      <c r="A17" s="246" t="s">
        <v>1308</v>
      </c>
      <c r="B17" s="376">
        <f>IF(SH!I39=1,'ER1'!N8,'ER2'!P27)</f>
        <v>2821.1538299086405</v>
      </c>
      <c r="C17" s="110" t="s">
        <v>562</v>
      </c>
      <c r="D17" s="358" t="s">
        <v>206</v>
      </c>
      <c r="H17" s="242"/>
      <c r="I17" s="244"/>
      <c r="J17" s="225"/>
      <c r="K17" s="217"/>
      <c r="L17" s="217"/>
      <c r="M17" s="21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row>
    <row r="18" spans="1:157" ht="30" customHeight="1">
      <c r="A18" s="246" t="s">
        <v>1309</v>
      </c>
      <c r="B18" s="248">
        <v>-3</v>
      </c>
      <c r="C18" s="240" t="s">
        <v>1305</v>
      </c>
      <c r="D18" s="707" t="s">
        <v>1310</v>
      </c>
      <c r="E18" s="707"/>
      <c r="F18" s="707"/>
      <c r="H18" s="242"/>
      <c r="I18" s="243"/>
      <c r="J18" s="225"/>
      <c r="K18" s="217"/>
      <c r="L18" s="217"/>
      <c r="M18" s="21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row>
    <row r="19" spans="1:157" ht="30" customHeight="1">
      <c r="A19" s="246" t="s">
        <v>1311</v>
      </c>
      <c r="B19" s="377">
        <f>HtUse!G6</f>
        <v>18.75</v>
      </c>
      <c r="C19" s="240" t="s">
        <v>1305</v>
      </c>
      <c r="D19" s="707" t="s">
        <v>1312</v>
      </c>
      <c r="E19" s="707"/>
      <c r="F19" s="707"/>
      <c r="H19" s="242"/>
      <c r="I19" s="243"/>
      <c r="J19" s="225"/>
      <c r="K19" s="217"/>
      <c r="L19" s="217"/>
      <c r="M19" s="217"/>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row>
    <row r="20" spans="1:157" ht="30" customHeight="1">
      <c r="A20" s="246" t="s">
        <v>1313</v>
      </c>
      <c r="B20" s="246" t="s">
        <v>1314</v>
      </c>
      <c r="D20" s="110"/>
      <c r="E20" s="110"/>
      <c r="F20" s="110"/>
      <c r="H20" s="242"/>
      <c r="I20" s="243"/>
      <c r="J20" s="225"/>
      <c r="K20" s="217"/>
      <c r="L20" s="217"/>
      <c r="M20" s="21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row>
    <row r="21" spans="1:157" ht="30" customHeight="1">
      <c r="A21" s="246" t="s">
        <v>1315</v>
      </c>
      <c r="B21" s="227" t="s">
        <v>245</v>
      </c>
      <c r="H21" s="242"/>
      <c r="I21" s="243"/>
      <c r="J21" s="225"/>
      <c r="K21" s="217"/>
      <c r="L21" s="217"/>
      <c r="M21" s="21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row>
    <row r="22" spans="1:157" ht="30" customHeight="1">
      <c r="A22" s="246" t="s">
        <v>1316</v>
      </c>
      <c r="B22" s="227" t="s">
        <v>246</v>
      </c>
      <c r="D22" s="707" t="s">
        <v>1317</v>
      </c>
      <c r="E22" s="707"/>
      <c r="F22" s="707"/>
      <c r="H22" s="242"/>
      <c r="I22" s="243"/>
      <c r="J22" s="225"/>
      <c r="K22" s="217"/>
      <c r="L22" s="217"/>
      <c r="M22" s="21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row>
    <row r="23" spans="1:157" ht="33" customHeight="1">
      <c r="A23" s="246" t="s">
        <v>1318</v>
      </c>
      <c r="B23" s="227" t="s">
        <v>246</v>
      </c>
      <c r="D23" s="250">
        <f>IF(B24="Yes",35,IF(B21="Yes",55,IF(B22="Yes",45,35)))</f>
        <v>55</v>
      </c>
      <c r="E23" s="240" t="s">
        <v>1305</v>
      </c>
      <c r="F23" s="186" t="s">
        <v>1319</v>
      </c>
      <c r="H23" s="242"/>
      <c r="I23" s="243"/>
      <c r="J23" s="228"/>
      <c r="K23" s="217"/>
      <c r="L23" s="217"/>
      <c r="M23" s="21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row>
    <row r="24" spans="1:157" ht="30" customHeight="1">
      <c r="A24" s="246" t="s">
        <v>1320</v>
      </c>
      <c r="B24" s="226" t="str">
        <f>IF(OR(B12="Water to Air",B12="Air to Air",B12="Brine to Air"),"Yes","No")</f>
        <v>No</v>
      </c>
      <c r="D24" s="721" t="str">
        <f>IF(B14="I.S. EN 14825",(IF(B25&gt;B16,"ERROR: Design Flow Temperature is greater than Heat Pumps Operating Limit, please correct","")),"")</f>
        <v/>
      </c>
      <c r="E24" s="722"/>
      <c r="F24" s="723"/>
      <c r="H24" s="242"/>
      <c r="I24" s="243"/>
      <c r="J24" s="225"/>
      <c r="K24" s="217"/>
      <c r="L24" s="217"/>
      <c r="M24" s="21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row>
    <row r="25" spans="1:157" ht="30" customHeight="1">
      <c r="A25" s="251" t="s">
        <v>1321</v>
      </c>
      <c r="B25" s="249">
        <v>35</v>
      </c>
      <c r="C25" s="240" t="s">
        <v>1305</v>
      </c>
      <c r="D25" s="721" t="str">
        <f>(IF(B25&lt;D23,"WARNING: As Design Flow Temperature is less than Default, please ensure that documentary evidence is available to support it",""))</f>
        <v>WARNING: As Design Flow Temperature is less than Default, please ensure that documentary evidence is available to support it</v>
      </c>
      <c r="E25" s="722"/>
      <c r="F25" s="723"/>
      <c r="H25" s="242"/>
      <c r="I25" s="243"/>
      <c r="J25" s="225"/>
      <c r="K25" s="217"/>
      <c r="L25" s="217"/>
      <c r="M25" s="217"/>
      <c r="N25" s="222"/>
      <c r="O25" s="222" t="s">
        <v>1322</v>
      </c>
      <c r="P25" s="222"/>
      <c r="Q25" s="222"/>
      <c r="R25" s="222"/>
      <c r="S25" s="222"/>
      <c r="T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row>
    <row r="26" spans="1:157" ht="30" customHeight="1">
      <c r="A26" s="246" t="s">
        <v>1323</v>
      </c>
      <c r="B26" s="247">
        <f>IF(B24="Yes",1,1.2)</f>
        <v>1.2</v>
      </c>
      <c r="D26" s="724" t="s">
        <v>1324</v>
      </c>
      <c r="E26" s="724"/>
      <c r="F26" s="724"/>
      <c r="H26" s="242"/>
      <c r="I26" s="243"/>
      <c r="J26" s="225"/>
      <c r="K26" s="217"/>
      <c r="L26" s="217"/>
      <c r="M26" s="217"/>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row>
    <row r="27" spans="1:157" ht="30" customHeight="1">
      <c r="A27" s="246" t="s">
        <v>1325</v>
      </c>
      <c r="B27" s="247">
        <f>IF(B24="Yes",5,IF(B21="Yes",10,IF(B22="Yes",7.5,5)))</f>
        <v>10</v>
      </c>
      <c r="C27" s="240" t="s">
        <v>1305</v>
      </c>
      <c r="D27" s="707" t="s">
        <v>1324</v>
      </c>
      <c r="E27" s="707"/>
      <c r="F27" s="707"/>
      <c r="H27" s="242"/>
      <c r="I27" s="243"/>
      <c r="J27" s="244"/>
      <c r="K27" s="243"/>
      <c r="L27" s="243"/>
      <c r="M27" s="243"/>
    </row>
    <row r="28" spans="1:157" ht="30" customHeight="1">
      <c r="A28" s="246" t="s">
        <v>1326</v>
      </c>
      <c r="B28" s="247">
        <f>B25-B27</f>
        <v>25</v>
      </c>
      <c r="H28" s="242"/>
      <c r="I28" s="243"/>
      <c r="J28" s="244"/>
      <c r="K28" s="243"/>
      <c r="L28" s="243"/>
      <c r="M28" s="243"/>
    </row>
    <row r="29" spans="1:157" ht="30" customHeight="1">
      <c r="A29" s="246" t="s">
        <v>1327</v>
      </c>
      <c r="B29" s="249">
        <v>8</v>
      </c>
      <c r="C29" s="110" t="s">
        <v>313</v>
      </c>
      <c r="D29" s="707" t="s">
        <v>1328</v>
      </c>
      <c r="E29" s="707"/>
      <c r="F29" s="707"/>
      <c r="H29" s="242"/>
      <c r="I29" s="243"/>
      <c r="J29" s="244"/>
      <c r="K29" s="243"/>
      <c r="L29" s="243"/>
      <c r="M29" s="243"/>
    </row>
    <row r="30" spans="1:157" ht="30" customHeight="1">
      <c r="A30" s="246" t="s">
        <v>1329</v>
      </c>
      <c r="B30" s="247">
        <f>24-B29</f>
        <v>16</v>
      </c>
      <c r="C30" s="110" t="s">
        <v>206</v>
      </c>
      <c r="H30" s="242"/>
      <c r="I30" s="243"/>
      <c r="J30" s="244"/>
      <c r="K30" s="243"/>
      <c r="L30" s="243"/>
      <c r="M30" s="243"/>
    </row>
    <row r="31" spans="1:157" ht="30" customHeight="1">
      <c r="A31" s="246" t="s">
        <v>1330</v>
      </c>
      <c r="B31" s="378">
        <f>Fuel!G28</f>
        <v>1.75</v>
      </c>
      <c r="D31" s="707" t="s">
        <v>1331</v>
      </c>
      <c r="E31" s="707"/>
      <c r="F31" s="707"/>
      <c r="H31" s="242"/>
      <c r="I31" s="243"/>
      <c r="J31" s="244"/>
      <c r="K31" s="243"/>
      <c r="L31" s="243"/>
      <c r="M31" s="243"/>
    </row>
    <row r="32" spans="1:157" ht="30" customHeight="1">
      <c r="A32" s="246" t="s">
        <v>1332</v>
      </c>
      <c r="B32" s="253" t="s">
        <v>246</v>
      </c>
      <c r="D32" s="707" t="s">
        <v>1333</v>
      </c>
      <c r="E32" s="707"/>
      <c r="F32" s="707"/>
      <c r="H32" s="242"/>
      <c r="I32" s="243"/>
      <c r="J32" s="244"/>
      <c r="K32" s="243"/>
      <c r="L32" s="243"/>
      <c r="M32" s="243"/>
    </row>
    <row r="33" spans="1:23" ht="30" customHeight="1">
      <c r="A33" s="246" t="s">
        <v>1334</v>
      </c>
      <c r="B33" s="249" t="s">
        <v>808</v>
      </c>
      <c r="D33" s="707" t="s">
        <v>1333</v>
      </c>
      <c r="E33" s="707"/>
      <c r="F33" s="707"/>
      <c r="H33" s="242"/>
      <c r="I33" s="243"/>
      <c r="J33" s="244"/>
      <c r="K33" s="243"/>
      <c r="L33" s="243"/>
      <c r="M33" s="243"/>
    </row>
    <row r="34" spans="1:23" ht="47.25" customHeight="1">
      <c r="A34" s="246" t="s">
        <v>1335</v>
      </c>
      <c r="B34" s="247">
        <f>VLOOKUP(B33,W2:X12,2,)</f>
        <v>1.75</v>
      </c>
      <c r="H34" s="242"/>
      <c r="I34" s="243"/>
      <c r="J34" s="244"/>
      <c r="K34" s="217"/>
      <c r="L34" s="217"/>
      <c r="M34" s="217"/>
    </row>
    <row r="35" spans="1:23" ht="30" customHeight="1">
      <c r="A35" s="246" t="s">
        <v>1336</v>
      </c>
      <c r="B35" s="224">
        <v>1</v>
      </c>
      <c r="C35" s="110" t="s">
        <v>1276</v>
      </c>
      <c r="D35" s="707" t="s">
        <v>1337</v>
      </c>
      <c r="E35" s="707"/>
      <c r="F35" s="707"/>
      <c r="H35" s="242"/>
      <c r="I35" s="243"/>
      <c r="J35" s="244"/>
      <c r="K35" s="243"/>
      <c r="L35" s="243"/>
      <c r="M35" s="243"/>
    </row>
    <row r="36" spans="1:23" ht="30" customHeight="1">
      <c r="A36" s="251" t="s">
        <v>1338</v>
      </c>
      <c r="B36" s="254">
        <f>IF(B32="Yes",(X2/B34)*B35,1)</f>
        <v>1</v>
      </c>
      <c r="H36" s="242"/>
      <c r="I36" s="243"/>
      <c r="J36" s="244"/>
      <c r="K36" s="217"/>
      <c r="L36" s="217"/>
      <c r="M36" s="217"/>
    </row>
    <row r="37" spans="1:23" ht="30" customHeight="1">
      <c r="D37" s="255"/>
      <c r="E37" s="255"/>
      <c r="F37" s="255"/>
      <c r="H37" s="242"/>
      <c r="I37" s="243"/>
      <c r="J37" s="244"/>
      <c r="K37" s="217"/>
      <c r="L37" s="217"/>
      <c r="M37" s="217"/>
      <c r="P37" s="222"/>
      <c r="U37" s="252"/>
      <c r="V37" s="252"/>
      <c r="W37" s="252"/>
    </row>
    <row r="38" spans="1:23" ht="79.5" customHeight="1">
      <c r="A38" s="261" t="s">
        <v>26</v>
      </c>
      <c r="B38" s="630" t="s">
        <v>1339</v>
      </c>
      <c r="C38" s="262" t="str">
        <f>IF(OR(B12="Air to Air",B12="Brine to Air",B12="Water to Air"),"For Heating by Air, select No for Low, Medium and Very High Temperature Test Points","")</f>
        <v/>
      </c>
      <c r="D38" s="707" t="s">
        <v>1340</v>
      </c>
      <c r="E38" s="707"/>
      <c r="F38" s="707"/>
      <c r="G38" s="261"/>
      <c r="H38" s="259"/>
      <c r="I38" s="243"/>
      <c r="J38" s="244"/>
      <c r="K38" s="243"/>
      <c r="L38" s="243"/>
      <c r="M38" s="243"/>
      <c r="O38" s="222"/>
      <c r="P38" s="222"/>
    </row>
    <row r="39" spans="1:23" ht="31.5" customHeight="1">
      <c r="A39" s="261" t="s">
        <v>1341</v>
      </c>
      <c r="B39" s="632" t="s">
        <v>1247</v>
      </c>
      <c r="C39" s="253" t="s">
        <v>246</v>
      </c>
      <c r="D39" s="707" t="s">
        <v>1340</v>
      </c>
      <c r="E39" s="707"/>
      <c r="F39" s="707"/>
      <c r="G39" s="261"/>
      <c r="H39" s="259"/>
      <c r="I39" s="243"/>
      <c r="J39" s="244"/>
      <c r="K39" s="243"/>
      <c r="L39" s="243"/>
      <c r="M39" s="243"/>
    </row>
    <row r="40" spans="1:23" ht="31.5" customHeight="1">
      <c r="A40" s="261"/>
      <c r="B40" s="632" t="s">
        <v>53</v>
      </c>
      <c r="C40" s="253" t="s">
        <v>246</v>
      </c>
      <c r="D40" s="707" t="s">
        <v>1340</v>
      </c>
      <c r="E40" s="707"/>
      <c r="F40" s="707"/>
      <c r="G40" s="261"/>
      <c r="H40" s="259"/>
      <c r="I40" s="243"/>
      <c r="J40" s="244"/>
      <c r="K40" s="243"/>
      <c r="L40" s="243"/>
      <c r="M40" s="243"/>
    </row>
    <row r="41" spans="1:23">
      <c r="A41" s="261"/>
      <c r="B41" s="632" t="s">
        <v>57</v>
      </c>
      <c r="C41" s="253" t="s">
        <v>246</v>
      </c>
      <c r="D41" s="707" t="s">
        <v>1340</v>
      </c>
      <c r="E41" s="707"/>
      <c r="F41" s="707"/>
      <c r="G41" s="261"/>
      <c r="H41" s="259"/>
      <c r="I41" s="243"/>
      <c r="J41" s="244"/>
      <c r="K41" s="243"/>
      <c r="L41" s="243"/>
      <c r="M41" s="243"/>
      <c r="U41" s="252"/>
      <c r="V41" s="252"/>
      <c r="W41" s="252"/>
    </row>
    <row r="42" spans="1:23" ht="30.75" customHeight="1" thickBot="1">
      <c r="A42" s="261"/>
      <c r="B42" s="265" t="s">
        <v>1342</v>
      </c>
      <c r="C42" s="266">
        <f>IF(C41="Yes",65,55)</f>
        <v>55</v>
      </c>
      <c r="D42" s="717" t="str">
        <f>IF(B25&gt;C42,"ERROR: Heat Pump data not suitable for Design Flow Temperature, test data must be available for higher supply temperature","")</f>
        <v/>
      </c>
      <c r="E42" s="718"/>
      <c r="F42" s="718"/>
      <c r="G42" s="261"/>
      <c r="H42" s="259"/>
      <c r="I42" s="259"/>
      <c r="J42" s="244"/>
      <c r="K42" s="243"/>
      <c r="L42" s="243"/>
      <c r="M42" s="243"/>
      <c r="U42" s="252"/>
      <c r="V42" s="252"/>
      <c r="W42" s="252"/>
    </row>
    <row r="43" spans="1:23" ht="33.75" customHeight="1" thickBot="1">
      <c r="A43" s="267" t="s">
        <v>206</v>
      </c>
      <c r="B43" s="268" t="s">
        <v>26</v>
      </c>
      <c r="C43" s="269" t="s">
        <v>1343</v>
      </c>
      <c r="D43" s="270" t="s">
        <v>1344</v>
      </c>
      <c r="E43" s="270" t="s">
        <v>1345</v>
      </c>
      <c r="F43" s="270" t="s">
        <v>1346</v>
      </c>
      <c r="G43" s="271" t="s">
        <v>1347</v>
      </c>
      <c r="H43" s="272"/>
      <c r="I43" s="273"/>
      <c r="J43" s="244"/>
      <c r="K43" s="217"/>
      <c r="L43" s="217"/>
      <c r="M43" s="217"/>
      <c r="R43" s="110" t="s">
        <v>206</v>
      </c>
      <c r="S43" s="110" t="s">
        <v>206</v>
      </c>
    </row>
    <row r="44" spans="1:23" ht="41.5" customHeight="1">
      <c r="A44" s="274" t="s">
        <v>1348</v>
      </c>
      <c r="B44" s="275" t="s">
        <v>1349</v>
      </c>
      <c r="C44" s="276" t="str">
        <f>IF(OR($B$12="Water to Water",$B$12="Water to Air"),"W10",(IF(OR($B$12="Brine to Water",$B$12="Brine to Air"),"B0","A-7")))</f>
        <v>A-7</v>
      </c>
      <c r="D44" s="277" t="str">
        <f>IF(OR($B$12="Water to Water",$B$12="Water to Air"),"W10",(IF(OR($B$12="Brine to Water",$B$12="Brine to Air"),"B0","A2")))</f>
        <v>A2</v>
      </c>
      <c r="E44" s="277" t="str">
        <f>IF(OR($B$12="Water to Water",$B$12="Water to Air"),"W10",(IF(OR($B$12="Brine to Water",$B$12="Brine to Air"),"B0","A7")))</f>
        <v>A7</v>
      </c>
      <c r="F44" s="277" t="str">
        <f>IF(OR($B$12="Water to Water",$B$12="Water to Air"),"W10",(IF(OR($B$12="Brine to Water",$B$12="Brine to Air"),"B0","A12")))</f>
        <v>A12</v>
      </c>
      <c r="G44" s="278" t="str">
        <f>IF(OR($B$12="Water to Water",$B$12="Water to Air"),"W10",(IF(OR($B$12="Brine to Water",$B$12="Brine to Air"),"B0","A"&amp;B15)))</f>
        <v>A-10</v>
      </c>
      <c r="H44" s="279"/>
      <c r="I44" s="279"/>
      <c r="J44" s="244"/>
      <c r="K44" s="243"/>
      <c r="L44" s="243"/>
      <c r="M44" s="243"/>
    </row>
    <row r="45" spans="1:23" ht="23.5" customHeight="1">
      <c r="A45" s="719" t="s">
        <v>32</v>
      </c>
      <c r="B45" s="281" t="s">
        <v>1350</v>
      </c>
      <c r="C45" s="282" t="str">
        <f>IF(OR($B$12="Water to Air",$B$12="Air to Air",$B$12="Brine to Air"),"A20",(IF($B$13="Fixed Outlet","W35","W34")))</f>
        <v>W34</v>
      </c>
      <c r="D45" s="283" t="str">
        <f>IF(OR($B$12="Water to Air",$B$12="Air to Air",$B$12="Brine to Air"),"A20",(IF($B$13="Fixed Outlet","W35","W30")))</f>
        <v>W30</v>
      </c>
      <c r="E45" s="283" t="str">
        <f>IF(OR($B$12="Water to Air",$B$12="Air to Air",$B$12="Brine to Air"),"A20",(IF($B$13="Fixed Outlet","W35","W27")))</f>
        <v>W27</v>
      </c>
      <c r="F45" s="283" t="str">
        <f>IF(OR($B$12="Water to Air",$B$12="Air to Air",$B$12="Brine to Air"),"A20",(IF($B$13="Fixed Outlet","W35","W24")))</f>
        <v>W24</v>
      </c>
      <c r="G45" s="284" t="str">
        <f>IF(OR($B$12="Water to Air",$B$12="Air to Air",$B$12="Brine to Air"),"A20",(IF($B$13="Fixed Outlet","W35","W35")))</f>
        <v>W35</v>
      </c>
      <c r="H45" s="279"/>
      <c r="I45" s="285"/>
      <c r="J45" s="244"/>
      <c r="K45" s="243"/>
      <c r="L45" s="243"/>
      <c r="M45" s="243"/>
    </row>
    <row r="46" spans="1:23" ht="23.5" customHeight="1">
      <c r="A46" s="719"/>
      <c r="B46" s="281" t="s">
        <v>1351</v>
      </c>
      <c r="C46" s="286">
        <v>0</v>
      </c>
      <c r="D46" s="253">
        <v>0</v>
      </c>
      <c r="E46" s="253">
        <v>0</v>
      </c>
      <c r="F46" s="253">
        <v>0</v>
      </c>
      <c r="G46" s="287">
        <v>0</v>
      </c>
      <c r="H46" s="288"/>
      <c r="I46" s="243"/>
      <c r="J46" s="244"/>
      <c r="K46" s="243"/>
      <c r="L46" s="243"/>
      <c r="M46" s="243"/>
      <c r="U46" s="252"/>
      <c r="V46" s="252"/>
      <c r="W46" s="252"/>
    </row>
    <row r="47" spans="1:23" ht="23.5" customHeight="1" thickBot="1">
      <c r="A47" s="720"/>
      <c r="B47" s="290" t="s">
        <v>1352</v>
      </c>
      <c r="C47" s="286">
        <v>0</v>
      </c>
      <c r="D47" s="253">
        <v>0</v>
      </c>
      <c r="E47" s="253">
        <v>0</v>
      </c>
      <c r="F47" s="253">
        <v>0</v>
      </c>
      <c r="G47" s="291">
        <v>0</v>
      </c>
      <c r="H47" s="292"/>
      <c r="I47" s="285"/>
      <c r="J47" s="244"/>
      <c r="K47" s="217"/>
      <c r="L47" s="217"/>
      <c r="M47" s="217"/>
    </row>
    <row r="48" spans="1:23" ht="36" customHeight="1">
      <c r="A48" s="631" t="s">
        <v>1353</v>
      </c>
      <c r="B48" s="275" t="s">
        <v>1349</v>
      </c>
      <c r="C48" s="276" t="str">
        <f>IF(OR($B$12="Water to Water",$B$12="Water to Air"),"W10",(IF(OR($B$12="Brine to Water",$B$12="Brine to Air"),"B0","A-7")))</f>
        <v>A-7</v>
      </c>
      <c r="D48" s="277" t="str">
        <f>IF(OR($B$12="Water to Water",$B$12="Water to Air"),"W10",(IF(OR($B$12="Brine to Water",$B$12="Brine to Air"),"B0","A2")))</f>
        <v>A2</v>
      </c>
      <c r="E48" s="277" t="str">
        <f>IF(OR($B$12="Water to Water",$B$12="Water to Air"),"W10",(IF(OR($B$12="Brine to Water",$B$12="Brine to Air"),"B0","A7")))</f>
        <v>A7</v>
      </c>
      <c r="F48" s="277" t="str">
        <f>IF(OR($B$12="Water to Water",$B$12="Water to Air"),"W10",(IF(OR($B$12="Brine to Water",$B$12="Brine to Air"),"B0","A12")))</f>
        <v>A12</v>
      </c>
      <c r="G48" s="278" t="str">
        <f>IF(OR($B$12="Water to Water",$B$12="Water to Air"),"W10",(IF(OR($B$12="Brine to Water",$B$12="Brine to Air"),"B0","A"&amp;B15)))</f>
        <v>A-10</v>
      </c>
      <c r="H48" s="292"/>
      <c r="I48" s="294"/>
      <c r="J48" s="244"/>
      <c r="K48" s="243"/>
      <c r="L48" s="243"/>
      <c r="M48" s="243"/>
    </row>
    <row r="49" spans="1:157" ht="21.65" customHeight="1">
      <c r="A49" s="715" t="s">
        <v>37</v>
      </c>
      <c r="B49" s="281" t="s">
        <v>1350</v>
      </c>
      <c r="C49" s="282" t="str">
        <f>IF(OR($B$12="Water to Air",$B$12="Air to Air",$B$12="Brine to Air"),"A20",(IF($B$13="Fixed Outlet","W45","W43")))</f>
        <v>W43</v>
      </c>
      <c r="D49" s="283" t="str">
        <f>IF(OR($B$12="Water to Air",$B$12="Air to Air",$B$12="Brine to Air"),"A20",(IF($B$13="Fixed Outlet","W45","W37")))</f>
        <v>W37</v>
      </c>
      <c r="E49" s="283" t="str">
        <f>IF(OR($B$12="Water to Air",$B$12="Air to Air",$B$12="Brine to Air"),"A20",(IF($B$13="Fixed Outlet","W45","W33")))</f>
        <v>W33</v>
      </c>
      <c r="F49" s="283" t="str">
        <f>IF(OR($B$12="Water to Air",$B$12="Air to Air",$B$12="Brine to Air"),"A20",(IF($B$13="Fixed Outlet","W45","W28")))</f>
        <v>W28</v>
      </c>
      <c r="G49" s="284" t="str">
        <f>IF(OR($B$12="Water to Air",$B$12="Air to Air",$B$12="Brine to Air"),"A20",(IF($B$13="Fixed Outlet","W45","W45")))</f>
        <v>W45</v>
      </c>
      <c r="H49" s="292"/>
      <c r="I49" s="294"/>
      <c r="J49" s="244"/>
      <c r="K49" s="243"/>
      <c r="L49" s="243"/>
      <c r="M49" s="243"/>
    </row>
    <row r="50" spans="1:157" ht="21.65" customHeight="1">
      <c r="A50" s="715"/>
      <c r="B50" s="281" t="s">
        <v>1351</v>
      </c>
      <c r="C50" s="286">
        <v>0</v>
      </c>
      <c r="D50" s="253">
        <v>0</v>
      </c>
      <c r="E50" s="253">
        <v>0</v>
      </c>
      <c r="F50" s="253">
        <v>0</v>
      </c>
      <c r="G50" s="291">
        <v>0</v>
      </c>
      <c r="H50" s="279"/>
      <c r="I50" s="285"/>
      <c r="J50" s="244"/>
      <c r="K50" s="243"/>
      <c r="L50" s="243"/>
      <c r="M50" s="243"/>
      <c r="N50" s="256"/>
    </row>
    <row r="51" spans="1:157" ht="27.65" customHeight="1" thickBot="1">
      <c r="A51" s="716"/>
      <c r="B51" s="296" t="s">
        <v>1352</v>
      </c>
      <c r="C51" s="286">
        <v>0</v>
      </c>
      <c r="D51" s="253">
        <v>0</v>
      </c>
      <c r="E51" s="253">
        <v>0</v>
      </c>
      <c r="F51" s="253">
        <v>0</v>
      </c>
      <c r="G51" s="291">
        <v>0</v>
      </c>
      <c r="H51" s="297"/>
      <c r="I51" s="279"/>
      <c r="J51" s="244"/>
      <c r="K51" s="243"/>
      <c r="L51" s="243"/>
      <c r="M51" s="243"/>
      <c r="N51" s="257" t="s">
        <v>206</v>
      </c>
    </row>
    <row r="52" spans="1:157" ht="28.5" customHeight="1">
      <c r="A52" s="631" t="s">
        <v>1354</v>
      </c>
      <c r="B52" s="275" t="s">
        <v>1349</v>
      </c>
      <c r="C52" s="276" t="str">
        <f>IF(OR($B$12="Water to Water",$B$12="Water to Air"),"W10",(IF(OR($B$12="Brine to Water",$B$12="Brine to Air"),"B0","A-7")))</f>
        <v>A-7</v>
      </c>
      <c r="D52" s="277" t="str">
        <f>IF(OR($B$12="Water to Water",$B$12="Water to Air"),"W10",(IF(OR($B$12="Brine to Water",$B$12="Brine to Air"),"B0","A2")))</f>
        <v>A2</v>
      </c>
      <c r="E52" s="277" t="str">
        <f>IF(OR($B$12="Water to Water",$B$12="Water to Air"),"W10",(IF(OR($B$12="Brine to Water",$B$12="Brine to Air"),"B0","A7")))</f>
        <v>A7</v>
      </c>
      <c r="F52" s="277" t="str">
        <f>IF(OR($B$12="Water to Water",$B$12="Water to Air"),"W10",(IF(OR($B$12="Brine to Water",$B$12="Brine to Air"),"B0","A12")))</f>
        <v>A12</v>
      </c>
      <c r="G52" s="278" t="str">
        <f>IF(OR($B$12="Water to Water",$B$12="Water to Air"),"W10",(IF(OR($B$12="Brine to Water",$B$12="Brine to Air"),"B0","A"&amp;B15)))</f>
        <v>A-10</v>
      </c>
      <c r="H52" s="297"/>
      <c r="I52" s="294"/>
      <c r="J52" s="260"/>
      <c r="K52" s="259"/>
      <c r="L52" s="259"/>
      <c r="M52" s="259"/>
      <c r="N52" s="261"/>
    </row>
    <row r="53" spans="1:157" ht="29.5" customHeight="1">
      <c r="A53" s="715" t="s">
        <v>41</v>
      </c>
      <c r="B53" s="281" t="s">
        <v>1350</v>
      </c>
      <c r="C53" s="282" t="str">
        <f>IF(OR($B$12="Water to Air",$B$12="Air to Air",$B$12="Brine to Air"),"A20",(IF($B$13="Fixed Outlet","W55","W52")))</f>
        <v>W52</v>
      </c>
      <c r="D53" s="283" t="str">
        <f>IF(OR($B$12="Water to Air",$B$12="Air to Air",$B$12="Brine to Air"),"A20",(IF($B$13="Fixed Outlet","W55","W42")))</f>
        <v>W42</v>
      </c>
      <c r="E53" s="283" t="str">
        <f>IF(OR($B$12="Water to Air",$B$12="Air to Air",$B$12="Brine to Air"),"A20",(IF($B$13="Fixed Outlet","W55","W36")))</f>
        <v>W36</v>
      </c>
      <c r="F53" s="283" t="str">
        <f>IF(OR($B$12="Water to Air",$B$12="Air to Air",$B$12="Brine to Air"),"A20",(IF($B$13="Fixed Outlet","W55","W30")))</f>
        <v>W30</v>
      </c>
      <c r="G53" s="284" t="str">
        <f>IF(OR($B$12="Water to Air",$B$12="Air to Air",$B$12="Brine to Air"),"A20",(IF($B$13="Fixed Outlet","W55","W55")))</f>
        <v>W55</v>
      </c>
      <c r="H53" s="297"/>
      <c r="I53" s="294"/>
      <c r="J53" s="263"/>
      <c r="K53" s="217"/>
      <c r="L53" s="217"/>
      <c r="M53" s="217"/>
      <c r="N53" s="261"/>
    </row>
    <row r="54" spans="1:157" ht="25.5" customHeight="1">
      <c r="A54" s="715"/>
      <c r="B54" s="281" t="s">
        <v>1351</v>
      </c>
      <c r="C54" s="286">
        <v>0</v>
      </c>
      <c r="D54" s="253">
        <v>0</v>
      </c>
      <c r="E54" s="253">
        <v>0</v>
      </c>
      <c r="F54" s="253">
        <v>0</v>
      </c>
      <c r="G54" s="291">
        <v>0</v>
      </c>
      <c r="H54" s="292"/>
      <c r="I54" s="285"/>
      <c r="J54" s="264"/>
      <c r="K54" s="217"/>
      <c r="L54" s="217"/>
      <c r="M54" s="217"/>
      <c r="N54" s="261"/>
    </row>
    <row r="55" spans="1:157" ht="25" customHeight="1" thickBot="1">
      <c r="A55" s="716"/>
      <c r="B55" s="290" t="s">
        <v>1352</v>
      </c>
      <c r="C55" s="286">
        <v>0</v>
      </c>
      <c r="D55" s="253">
        <v>0</v>
      </c>
      <c r="E55" s="253">
        <v>0</v>
      </c>
      <c r="F55" s="253">
        <v>0</v>
      </c>
      <c r="G55" s="291">
        <v>0</v>
      </c>
      <c r="H55" s="279"/>
      <c r="I55" s="279"/>
      <c r="J55" s="264"/>
      <c r="K55" s="217"/>
      <c r="L55" s="217"/>
      <c r="M55" s="217"/>
      <c r="N55" s="261"/>
    </row>
    <row r="56" spans="1:157" ht="30.75" customHeight="1">
      <c r="A56" s="631" t="s">
        <v>1355</v>
      </c>
      <c r="B56" s="299" t="s">
        <v>1349</v>
      </c>
      <c r="C56" s="276" t="str">
        <f>IF(OR($B$12="Water to Water",$B$12="Water to Air"),"W10",(IF(OR($B$12="Brine to Water",$B$12="Brine to Air"),"B0","A-7")))</f>
        <v>A-7</v>
      </c>
      <c r="D56" s="277" t="str">
        <f>IF(OR($B$12="Water to Water",$B$12="Water to Air"),"W10",(IF(OR($B$12="Brine to Water",$B$12="Brine to Air"),"B0","A2")))</f>
        <v>A2</v>
      </c>
      <c r="E56" s="277" t="str">
        <f>IF(OR($B$12="Water to Water",$B$12="Water to Air"),"W10",(IF(OR($B$12="Brine to Water",$B$12="Brine to Air"),"B0","A7")))</f>
        <v>A7</v>
      </c>
      <c r="F56" s="277" t="str">
        <f>IF(OR($B$12="Water to Water",$B$12="Water to Air"),"W10",(IF(OR($B$12="Brine to Water",$B$12="Brine to Air"),"B0","A12")))</f>
        <v>A12</v>
      </c>
      <c r="G56" s="278" t="str">
        <f>IF(OR($B$12="Water to Water",$B$12="Water to Air"),"W10",(IF(OR($B$12="Brine to Water",$B$12="Brine to Air"),"B0","A"&amp;B15)))</f>
        <v>A-10</v>
      </c>
      <c r="H56" s="297"/>
      <c r="I56" s="294"/>
      <c r="J56" s="264"/>
      <c r="K56" s="217"/>
      <c r="L56" s="217"/>
      <c r="M56" s="217"/>
      <c r="N56" s="222"/>
      <c r="O56" s="222"/>
      <c r="P56" s="222"/>
      <c r="Q56" s="222"/>
      <c r="R56" s="222"/>
      <c r="S56" s="222"/>
      <c r="T56" s="222"/>
    </row>
    <row r="57" spans="1:157" ht="30.65" customHeight="1">
      <c r="A57" s="715" t="s">
        <v>44</v>
      </c>
      <c r="B57" s="281" t="s">
        <v>1350</v>
      </c>
      <c r="C57" s="282" t="str">
        <f>IF(OR($B$12="Water to Air",$B$12="Air to Air",$B$12="Brine to Air"),"A20",(IF($B$13="Fixed Outlet","W65","W61")))</f>
        <v>W61</v>
      </c>
      <c r="D57" s="283" t="str">
        <f>IF(OR($B$12="Water to Air",$B$12="Air to Air",$B$12="Brine to Air"),"A20",(IF($B$13="Fixed Outlet","W65","W49")))</f>
        <v>W49</v>
      </c>
      <c r="E57" s="283" t="str">
        <f>IF(OR($B$12="Water to Air",$B$12="Air to Air",$B$12="Brine to Air"),"A20",(IF($B$13="Fixed Outlet","W65","W41")))</f>
        <v>W41</v>
      </c>
      <c r="F57" s="283" t="str">
        <f>IF(OR($B$12="Water to Air",$B$12="Air to Air",$B$12="Brine to Air"),"A20",(IF($B$13="Fixed Outlet","W65","W32")))</f>
        <v>W32</v>
      </c>
      <c r="G57" s="284" t="str">
        <f>IF(OR($B$12="Water to Air",$B$12="Air to Air",$B$12="Brine to Air"),"A20",(IF($B$13="Fixed Outlet","W65","W65")))</f>
        <v>W65</v>
      </c>
      <c r="H57" s="297"/>
      <c r="I57" s="294"/>
      <c r="J57" s="264"/>
      <c r="K57" s="259"/>
      <c r="L57" s="259"/>
      <c r="M57" s="259"/>
      <c r="N57" s="222"/>
      <c r="O57" s="222"/>
      <c r="P57" s="222"/>
      <c r="Q57" s="222"/>
      <c r="R57" s="222"/>
      <c r="S57" s="222"/>
      <c r="T57" s="222"/>
    </row>
    <row r="58" spans="1:157" ht="30.75" customHeight="1">
      <c r="A58" s="715"/>
      <c r="B58" s="281" t="s">
        <v>1351</v>
      </c>
      <c r="C58" s="286">
        <v>0</v>
      </c>
      <c r="D58" s="253">
        <v>0</v>
      </c>
      <c r="E58" s="253">
        <v>0</v>
      </c>
      <c r="F58" s="253">
        <v>0</v>
      </c>
      <c r="G58" s="291">
        <v>0</v>
      </c>
      <c r="H58" s="297"/>
      <c r="I58" s="285"/>
      <c r="J58" s="264"/>
      <c r="K58" s="273"/>
      <c r="L58" s="273"/>
      <c r="M58" s="273"/>
      <c r="N58" s="222"/>
      <c r="O58" s="222"/>
      <c r="P58" s="222"/>
      <c r="Q58" s="222"/>
      <c r="R58" s="222"/>
      <c r="S58" s="222"/>
      <c r="T58" s="222"/>
    </row>
    <row r="59" spans="1:157" ht="30.75" customHeight="1" thickBot="1">
      <c r="A59" s="716"/>
      <c r="B59" s="290" t="s">
        <v>1352</v>
      </c>
      <c r="C59" s="300">
        <v>0</v>
      </c>
      <c r="D59" s="301">
        <v>0</v>
      </c>
      <c r="E59" s="301">
        <v>0</v>
      </c>
      <c r="F59" s="301">
        <v>0</v>
      </c>
      <c r="G59" s="302">
        <v>0</v>
      </c>
      <c r="H59" s="292"/>
      <c r="I59" s="243"/>
      <c r="J59" s="280"/>
      <c r="K59" s="217"/>
      <c r="L59" s="217"/>
      <c r="M59" s="217"/>
      <c r="N59" s="222"/>
      <c r="O59" s="222"/>
      <c r="P59" s="222"/>
      <c r="Q59" s="222"/>
      <c r="R59" s="222"/>
      <c r="S59" s="222"/>
      <c r="T59" s="222"/>
    </row>
    <row r="60" spans="1:157" ht="30.75" customHeight="1">
      <c r="A60" s="379"/>
      <c r="B60" s="380"/>
      <c r="C60" s="293"/>
      <c r="D60" s="293"/>
      <c r="E60" s="293"/>
      <c r="F60" s="293"/>
      <c r="G60" s="293"/>
      <c r="H60" s="292"/>
      <c r="I60" s="243"/>
      <c r="J60" s="280"/>
      <c r="K60" s="217"/>
      <c r="L60" s="217"/>
      <c r="M60" s="217"/>
      <c r="N60" s="222"/>
      <c r="O60" s="222"/>
      <c r="P60" s="222"/>
      <c r="Q60" s="222"/>
      <c r="R60" s="222"/>
      <c r="S60" s="222"/>
      <c r="T60" s="222"/>
    </row>
    <row r="61" spans="1:157" ht="30.75" customHeight="1">
      <c r="A61" s="379"/>
      <c r="B61" s="380"/>
      <c r="C61" s="293"/>
      <c r="D61" s="293"/>
      <c r="E61" s="293"/>
      <c r="F61" s="293"/>
      <c r="G61" s="293"/>
      <c r="H61" s="292"/>
      <c r="I61" s="243"/>
      <c r="J61" s="280"/>
      <c r="K61" s="217"/>
      <c r="L61" s="217"/>
      <c r="M61" s="217"/>
      <c r="N61" s="222"/>
      <c r="O61" s="222"/>
      <c r="P61" s="222"/>
      <c r="Q61" s="222"/>
      <c r="R61" s="222"/>
      <c r="S61" s="222"/>
      <c r="T61" s="222"/>
    </row>
    <row r="62" spans="1:157" ht="29.25" customHeight="1">
      <c r="A62" s="713" t="s">
        <v>1356</v>
      </c>
      <c r="B62" s="714"/>
      <c r="C62" s="714"/>
      <c r="D62" s="714"/>
      <c r="E62" s="714"/>
      <c r="F62" s="714"/>
      <c r="G62" s="714"/>
      <c r="H62" s="714"/>
      <c r="I62" s="713"/>
      <c r="J62" s="244"/>
      <c r="K62" s="243"/>
      <c r="L62" s="243"/>
      <c r="M62" s="243"/>
      <c r="P62" s="222"/>
      <c r="R62" s="110" t="s">
        <v>206</v>
      </c>
    </row>
    <row r="63" spans="1:157" ht="35.25" customHeight="1">
      <c r="A63" s="232" t="s">
        <v>1289</v>
      </c>
      <c r="B63" s="231"/>
      <c r="D63" s="707" t="s">
        <v>1290</v>
      </c>
      <c r="E63" s="707"/>
      <c r="F63" s="707"/>
      <c r="G63" s="222"/>
      <c r="H63" s="228"/>
      <c r="I63" s="217"/>
      <c r="J63" s="225"/>
      <c r="K63" s="243"/>
      <c r="L63" s="243"/>
      <c r="M63" s="243"/>
      <c r="P63" s="222"/>
    </row>
    <row r="64" spans="1:157" ht="30" customHeight="1">
      <c r="A64" s="112" t="s">
        <v>1294</v>
      </c>
      <c r="B64" s="223"/>
      <c r="D64" s="707" t="s">
        <v>1290</v>
      </c>
      <c r="E64" s="707"/>
      <c r="F64" s="707"/>
      <c r="G64" s="222"/>
      <c r="H64" s="228"/>
      <c r="I64" s="217"/>
      <c r="J64" s="225"/>
      <c r="K64" s="217"/>
      <c r="L64" s="217"/>
      <c r="M64" s="217"/>
      <c r="N64" s="222"/>
      <c r="O64" s="222"/>
      <c r="P64" s="222"/>
      <c r="Q64" s="222"/>
      <c r="R64" s="222"/>
      <c r="S64" s="222"/>
      <c r="T64" s="222"/>
      <c r="U64" s="222"/>
      <c r="V64" s="222"/>
      <c r="W64" s="222" t="s">
        <v>1089</v>
      </c>
      <c r="X64" s="222">
        <v>1.2</v>
      </c>
      <c r="Y64" s="222"/>
      <c r="Z64" s="222"/>
      <c r="AA64" s="222"/>
      <c r="AB64" s="222"/>
      <c r="AC64" s="222"/>
      <c r="AD64" s="222"/>
      <c r="AE64" s="222"/>
      <c r="AF64" s="222"/>
      <c r="AG64" s="222"/>
      <c r="AH64" s="222"/>
      <c r="AI64" s="222"/>
      <c r="AJ64" s="222"/>
      <c r="AK64" s="222"/>
      <c r="AL64" t="s">
        <v>1288</v>
      </c>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2"/>
      <c r="ES64" s="222"/>
      <c r="ET64" s="222"/>
      <c r="EU64" s="222"/>
      <c r="EV64" s="222"/>
      <c r="EW64" s="222"/>
      <c r="EX64" s="222"/>
      <c r="EY64" s="222"/>
      <c r="EZ64" s="222"/>
      <c r="FA64" s="222"/>
    </row>
    <row r="65" spans="1:157" ht="30" customHeight="1">
      <c r="A65" s="112" t="s">
        <v>1297</v>
      </c>
      <c r="B65" s="223" t="s">
        <v>1265</v>
      </c>
      <c r="D65" s="707" t="s">
        <v>1290</v>
      </c>
      <c r="E65" s="707"/>
      <c r="F65" s="707"/>
      <c r="G65" s="222"/>
      <c r="H65" s="228"/>
      <c r="I65" s="217"/>
      <c r="J65" s="225"/>
      <c r="K65" s="217"/>
      <c r="L65" s="217"/>
      <c r="M65" s="217"/>
      <c r="N65" s="222"/>
      <c r="O65" s="222"/>
      <c r="P65" s="222"/>
      <c r="Q65" s="222"/>
      <c r="R65" s="222"/>
      <c r="S65" s="222"/>
      <c r="T65" s="222"/>
      <c r="U65" s="222"/>
      <c r="V65" s="222"/>
      <c r="W65" s="222" t="s">
        <v>1292</v>
      </c>
      <c r="X65" s="222">
        <v>1.1000000000000001</v>
      </c>
      <c r="Y65" s="222"/>
      <c r="Z65" s="222"/>
      <c r="AA65" s="222"/>
      <c r="AB65" s="222"/>
      <c r="AC65" s="222"/>
      <c r="AD65" s="222"/>
      <c r="AE65" s="222"/>
      <c r="AF65" s="222"/>
      <c r="AG65" s="222"/>
      <c r="AH65" s="222"/>
      <c r="AI65" s="222"/>
      <c r="AJ65" s="222"/>
      <c r="AK65" s="222"/>
      <c r="AL65" t="s">
        <v>1293</v>
      </c>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2"/>
      <c r="ES65" s="222"/>
      <c r="ET65" s="222"/>
      <c r="EU65" s="222"/>
      <c r="EV65" s="222"/>
      <c r="EW65" s="222"/>
      <c r="EX65" s="222"/>
      <c r="EY65" s="222"/>
      <c r="EZ65" s="222"/>
      <c r="FA65" s="222"/>
    </row>
    <row r="66" spans="1:157" ht="30" customHeight="1">
      <c r="A66" s="112" t="s">
        <v>1300</v>
      </c>
      <c r="B66" s="223" t="s">
        <v>1246</v>
      </c>
      <c r="D66" s="707" t="s">
        <v>1301</v>
      </c>
      <c r="E66" s="707"/>
      <c r="F66" s="707"/>
      <c r="G66" s="222"/>
      <c r="H66" s="228"/>
      <c r="I66" s="217"/>
      <c r="J66" s="225"/>
      <c r="K66" s="217"/>
      <c r="L66" s="217"/>
      <c r="M66" s="217"/>
      <c r="N66" s="222"/>
      <c r="O66" s="222"/>
      <c r="P66" s="222"/>
      <c r="Q66" s="222"/>
      <c r="R66" s="222"/>
      <c r="S66" s="222"/>
      <c r="T66" s="222"/>
      <c r="U66" s="222"/>
      <c r="V66" s="222"/>
      <c r="W66" s="222" t="s">
        <v>1296</v>
      </c>
      <c r="X66" s="222">
        <v>1.1000000000000001</v>
      </c>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2"/>
      <c r="ES66" s="222"/>
      <c r="ET66" s="222"/>
      <c r="EU66" s="222"/>
      <c r="EV66" s="222"/>
      <c r="EW66" s="222"/>
      <c r="EX66" s="222"/>
      <c r="EY66" s="222"/>
      <c r="EZ66" s="222"/>
      <c r="FA66" s="222"/>
    </row>
    <row r="67" spans="1:157" ht="44.25" customHeight="1">
      <c r="A67" s="112" t="s">
        <v>1357</v>
      </c>
      <c r="B67" s="223" t="s">
        <v>1255</v>
      </c>
      <c r="D67" s="707" t="s">
        <v>1358</v>
      </c>
      <c r="E67" s="707"/>
      <c r="F67" s="707"/>
      <c r="G67" s="222"/>
      <c r="H67" s="228"/>
      <c r="I67" s="217"/>
      <c r="J67" s="225"/>
      <c r="K67" s="217"/>
      <c r="L67" s="217"/>
      <c r="M67" s="217"/>
      <c r="N67" s="222"/>
      <c r="O67" s="222"/>
      <c r="P67" s="222"/>
      <c r="Q67" s="222"/>
      <c r="R67" s="222"/>
      <c r="S67" s="222"/>
      <c r="T67" s="222"/>
      <c r="U67" s="222"/>
      <c r="V67" s="222"/>
      <c r="W67" s="222" t="s">
        <v>1299</v>
      </c>
      <c r="X67" s="222">
        <v>1.1000000000000001</v>
      </c>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2"/>
      <c r="ES67" s="222"/>
      <c r="ET67" s="222"/>
      <c r="EU67" s="222"/>
      <c r="EV67" s="222"/>
      <c r="EW67" s="222"/>
      <c r="EX67" s="222"/>
      <c r="EY67" s="222"/>
      <c r="EZ67" s="222"/>
      <c r="FA67" s="222"/>
    </row>
    <row r="68" spans="1:157" ht="30" customHeight="1">
      <c r="A68" s="112" t="s">
        <v>1359</v>
      </c>
      <c r="B68" s="229" t="s">
        <v>1242</v>
      </c>
      <c r="D68" s="707" t="s">
        <v>1303</v>
      </c>
      <c r="E68" s="707"/>
      <c r="F68" s="707"/>
      <c r="G68" s="222"/>
      <c r="H68" s="228"/>
      <c r="I68" s="217"/>
      <c r="J68" s="225"/>
      <c r="K68" s="217"/>
      <c r="L68" s="217"/>
      <c r="M68" s="21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row>
    <row r="69" spans="1:157" ht="30" customHeight="1">
      <c r="A69" s="245" t="s">
        <v>1360</v>
      </c>
      <c r="B69" s="376">
        <f>IF(SH!I39=1,'ER1'!N18,'ER2'!S27)</f>
        <v>2488.6104499012713</v>
      </c>
      <c r="C69" s="110" t="s">
        <v>558</v>
      </c>
      <c r="D69" s="707" t="s">
        <v>1361</v>
      </c>
      <c r="E69" s="707"/>
      <c r="F69" s="707"/>
      <c r="H69" s="228"/>
      <c r="I69" s="217"/>
      <c r="J69" s="225"/>
      <c r="K69" s="217"/>
      <c r="L69" s="217"/>
      <c r="M69" s="21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2"/>
      <c r="CW69" s="222"/>
      <c r="CX69" s="222"/>
      <c r="CY69" s="222"/>
      <c r="CZ69" s="222"/>
      <c r="DA69" s="222"/>
      <c r="DB69" s="222"/>
      <c r="DC69" s="222"/>
      <c r="DD69" s="222"/>
      <c r="DE69" s="222"/>
      <c r="DF69" s="222"/>
      <c r="DG69" s="222"/>
      <c r="DH69" s="222"/>
      <c r="DI69" s="222"/>
      <c r="DJ69" s="222"/>
      <c r="DK69" s="222"/>
      <c r="DL69" s="222"/>
      <c r="DM69" s="222"/>
      <c r="DN69" s="222"/>
      <c r="DO69" s="222"/>
      <c r="DP69" s="222"/>
      <c r="DQ69" s="222"/>
      <c r="DR69" s="222"/>
      <c r="DS69" s="222"/>
      <c r="DT69" s="222"/>
      <c r="DU69" s="222"/>
      <c r="DV69" s="222"/>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2"/>
      <c r="ES69" s="222"/>
      <c r="ET69" s="222"/>
      <c r="EU69" s="222"/>
      <c r="EV69" s="222"/>
      <c r="EW69" s="222"/>
      <c r="EX69" s="222"/>
      <c r="EY69" s="222"/>
      <c r="EZ69" s="222"/>
      <c r="FA69" s="222"/>
    </row>
    <row r="70" spans="1:157" ht="30.75" customHeight="1">
      <c r="A70" s="246" t="s">
        <v>1362</v>
      </c>
      <c r="B70" s="223" t="s">
        <v>1259</v>
      </c>
      <c r="D70" s="707" t="s">
        <v>1363</v>
      </c>
      <c r="E70" s="707"/>
      <c r="F70" s="707"/>
      <c r="H70" s="228"/>
      <c r="I70" s="217"/>
      <c r="J70" s="244"/>
      <c r="K70" s="243"/>
      <c r="L70" s="243"/>
      <c r="M70" s="243"/>
      <c r="P70" s="222"/>
    </row>
    <row r="71" spans="1:157" ht="31.5" customHeight="1">
      <c r="A71" s="246" t="s">
        <v>1364</v>
      </c>
      <c r="B71" s="248">
        <v>10</v>
      </c>
      <c r="C71" s="240" t="s">
        <v>1305</v>
      </c>
      <c r="D71" s="707" t="s">
        <v>1365</v>
      </c>
      <c r="E71" s="707"/>
      <c r="F71" s="707"/>
      <c r="H71" s="242"/>
      <c r="I71" s="244"/>
      <c r="J71" s="244"/>
      <c r="K71" s="243"/>
      <c r="L71" s="243"/>
      <c r="M71" s="243"/>
      <c r="O71" s="222"/>
      <c r="P71" s="222"/>
    </row>
    <row r="72" spans="1:157" ht="31.5" customHeight="1">
      <c r="A72" s="246" t="s">
        <v>1366</v>
      </c>
      <c r="B72" s="247">
        <f>IF(OR(B70="No Hot Water Store",B70="Integral Hot Water Storage"),60,65)</f>
        <v>65</v>
      </c>
      <c r="C72" s="240" t="s">
        <v>1305</v>
      </c>
      <c r="D72" s="707" t="s">
        <v>1367</v>
      </c>
      <c r="E72" s="707"/>
      <c r="F72" s="707"/>
      <c r="H72" s="242" t="s">
        <v>206</v>
      </c>
      <c r="I72" s="243"/>
      <c r="J72" s="244"/>
      <c r="K72" s="217"/>
      <c r="L72" s="217"/>
      <c r="M72" s="217"/>
      <c r="O72" s="222"/>
      <c r="P72" s="222"/>
      <c r="U72" s="252"/>
      <c r="V72" s="252"/>
      <c r="W72" s="252"/>
    </row>
    <row r="73" spans="1:157" ht="31.5" customHeight="1">
      <c r="A73" s="246" t="s">
        <v>1368</v>
      </c>
      <c r="B73" s="378">
        <f>cylVol</f>
        <v>120</v>
      </c>
      <c r="C73" s="110" t="s">
        <v>541</v>
      </c>
      <c r="D73" s="707" t="s">
        <v>1369</v>
      </c>
      <c r="E73" s="707"/>
      <c r="F73" s="707"/>
      <c r="H73" s="242"/>
      <c r="I73" s="243"/>
      <c r="J73" s="244"/>
      <c r="K73" s="243"/>
      <c r="L73" s="243"/>
      <c r="M73" s="243"/>
      <c r="O73" s="222"/>
      <c r="P73" s="222"/>
    </row>
    <row r="74" spans="1:157" ht="30" customHeight="1">
      <c r="A74" s="251" t="s">
        <v>1370</v>
      </c>
      <c r="B74" s="253" t="s">
        <v>246</v>
      </c>
      <c r="D74" s="707" t="s">
        <v>1333</v>
      </c>
      <c r="E74" s="707"/>
      <c r="F74" s="707"/>
      <c r="H74" s="242"/>
      <c r="I74" s="243"/>
      <c r="J74" s="244"/>
      <c r="K74" s="217"/>
      <c r="L74" s="217"/>
      <c r="M74" s="217"/>
    </row>
    <row r="75" spans="1:157" ht="30" customHeight="1">
      <c r="A75" s="246" t="s">
        <v>1371</v>
      </c>
      <c r="B75" s="249" t="s">
        <v>808</v>
      </c>
      <c r="D75" s="707" t="s">
        <v>1333</v>
      </c>
      <c r="E75" s="707"/>
      <c r="F75" s="707"/>
      <c r="H75" s="242"/>
      <c r="I75" s="243"/>
      <c r="J75" s="244"/>
      <c r="K75" s="217"/>
      <c r="L75" s="217"/>
      <c r="M75" s="217"/>
    </row>
    <row r="76" spans="1:157" ht="30" customHeight="1">
      <c r="A76" s="246" t="s">
        <v>1372</v>
      </c>
      <c r="B76" s="247">
        <f>VLOOKUP(B75,W2:X12,2,)</f>
        <v>1.75</v>
      </c>
      <c r="H76" s="242"/>
      <c r="I76" s="243"/>
      <c r="J76" s="244"/>
      <c r="K76" s="243"/>
      <c r="L76" s="243"/>
      <c r="M76" s="243"/>
      <c r="P76" s="222"/>
    </row>
    <row r="77" spans="1:157" ht="83.25" customHeight="1">
      <c r="A77" s="246" t="s">
        <v>1373</v>
      </c>
      <c r="B77" s="224">
        <v>1</v>
      </c>
      <c r="C77" s="110" t="s">
        <v>1276</v>
      </c>
      <c r="D77" s="707" t="s">
        <v>1337</v>
      </c>
      <c r="E77" s="707"/>
      <c r="F77" s="707"/>
      <c r="H77" s="242"/>
      <c r="I77" s="243"/>
      <c r="J77" s="244"/>
      <c r="K77" s="243"/>
      <c r="L77" s="243"/>
      <c r="M77" s="243"/>
      <c r="P77" s="222"/>
    </row>
    <row r="78" spans="1:157" ht="29.25" customHeight="1">
      <c r="A78" s="251" t="s">
        <v>1374</v>
      </c>
      <c r="B78" s="254">
        <f>IF(B74="Yes",(X2/B76)*B77,1)</f>
        <v>1</v>
      </c>
      <c r="H78" s="242"/>
      <c r="I78" s="243"/>
      <c r="J78" s="244"/>
      <c r="K78" s="217"/>
      <c r="L78" s="217"/>
      <c r="M78" s="217"/>
      <c r="P78" s="222"/>
    </row>
    <row r="79" spans="1:157" ht="31.5" customHeight="1">
      <c r="B79" s="165"/>
      <c r="H79" s="242"/>
      <c r="I79" s="243"/>
      <c r="J79" s="244"/>
      <c r="K79" s="243"/>
      <c r="L79" s="243"/>
      <c r="M79" s="243"/>
      <c r="O79" s="222"/>
      <c r="P79" s="222"/>
    </row>
    <row r="80" spans="1:157" ht="30.75" customHeight="1" thickBot="1">
      <c r="A80" s="261" t="s">
        <v>1375</v>
      </c>
      <c r="H80" s="242"/>
      <c r="I80" s="243"/>
      <c r="J80" s="298"/>
      <c r="K80" s="294"/>
      <c r="L80" s="294"/>
      <c r="M80" s="294"/>
      <c r="N80" s="222"/>
      <c r="O80" s="222"/>
      <c r="P80" s="222"/>
      <c r="Q80" s="222"/>
      <c r="R80" s="222"/>
      <c r="S80" s="222"/>
      <c r="T80" s="222"/>
    </row>
    <row r="81" spans="1:21" ht="30.75" customHeight="1">
      <c r="A81" s="309" t="s">
        <v>1376</v>
      </c>
      <c r="B81" s="221" t="s">
        <v>1377</v>
      </c>
      <c r="C81" s="110" t="s">
        <v>206</v>
      </c>
      <c r="D81" s="707" t="s">
        <v>1378</v>
      </c>
      <c r="E81" s="707"/>
      <c r="F81" s="707"/>
      <c r="H81" s="242"/>
      <c r="I81" s="243"/>
      <c r="J81" s="293"/>
      <c r="K81" s="285"/>
      <c r="L81" s="285"/>
      <c r="M81" s="285"/>
      <c r="N81" s="222"/>
      <c r="O81" s="222"/>
      <c r="P81" s="222"/>
      <c r="Q81" s="222"/>
      <c r="R81" s="222"/>
      <c r="S81" s="222"/>
      <c r="T81" s="222"/>
      <c r="U81" s="222"/>
    </row>
    <row r="82" spans="1:21" ht="30.75" customHeight="1">
      <c r="A82" s="307" t="str">
        <f>B81</f>
        <v>Water heating energy efficiency, ηwh</v>
      </c>
      <c r="B82" s="306">
        <v>0</v>
      </c>
      <c r="C82" s="110" t="str">
        <f>IF(B81="Coefficient of Performance, COP","kW/kW","%")</f>
        <v>%</v>
      </c>
      <c r="D82" s="707" t="s">
        <v>1378</v>
      </c>
      <c r="E82" s="707"/>
      <c r="F82" s="707"/>
      <c r="H82" s="242"/>
      <c r="I82" s="243"/>
      <c r="J82" s="295"/>
      <c r="K82" s="279"/>
      <c r="L82" s="279"/>
      <c r="M82" s="279"/>
      <c r="N82" s="222"/>
      <c r="O82" s="222"/>
      <c r="P82" s="222"/>
      <c r="Q82" s="222"/>
      <c r="R82" s="222"/>
      <c r="S82" s="222"/>
      <c r="T82" s="222"/>
      <c r="U82" s="222"/>
    </row>
    <row r="83" spans="1:21" ht="30.75" customHeight="1">
      <c r="A83" s="310" t="s">
        <v>1379</v>
      </c>
      <c r="B83" s="311">
        <f>IF(B81="Coefficient of Performance, COP",B82,B82*2.5/100)</f>
        <v>0</v>
      </c>
      <c r="C83" s="110" t="s">
        <v>1380</v>
      </c>
      <c r="H83" s="242"/>
      <c r="I83" s="243"/>
      <c r="J83" s="298"/>
      <c r="K83" s="294"/>
      <c r="L83" s="294"/>
      <c r="M83" s="294"/>
      <c r="N83" s="222"/>
      <c r="O83" s="222"/>
      <c r="P83" s="222"/>
      <c r="Q83" s="222"/>
      <c r="R83" s="222"/>
      <c r="S83" s="222"/>
      <c r="T83" s="222"/>
      <c r="U83" s="222"/>
    </row>
    <row r="84" spans="1:21" ht="30.75" customHeight="1">
      <c r="A84" s="307" t="s">
        <v>1381</v>
      </c>
      <c r="B84" s="306">
        <v>0</v>
      </c>
      <c r="C84" s="240" t="s">
        <v>1305</v>
      </c>
      <c r="D84" s="707" t="s">
        <v>1382</v>
      </c>
      <c r="E84" s="707"/>
      <c r="F84" s="707"/>
      <c r="H84" s="242"/>
      <c r="I84" s="243"/>
      <c r="J84" s="298"/>
      <c r="K84" s="294"/>
      <c r="L84" s="294"/>
      <c r="M84" s="294"/>
      <c r="N84" s="222"/>
      <c r="O84" s="222"/>
      <c r="P84" s="222"/>
      <c r="Q84" s="222"/>
      <c r="R84" s="222"/>
      <c r="S84" s="222"/>
      <c r="T84" s="222"/>
    </row>
    <row r="85" spans="1:21" ht="30.75" customHeight="1">
      <c r="A85" s="636" t="s">
        <v>1383</v>
      </c>
      <c r="B85" s="634">
        <f>IF(B12="Air to Water",7,IF(B12="Water to Water",10,IF(B12="Exhaust Air to Water",20,0)))</f>
        <v>7</v>
      </c>
      <c r="C85" s="240" t="s">
        <v>1305</v>
      </c>
      <c r="D85" s="707" t="s">
        <v>1384</v>
      </c>
      <c r="E85" s="707"/>
      <c r="F85" s="707"/>
      <c r="H85" s="242"/>
      <c r="I85" s="243"/>
      <c r="J85" s="298"/>
      <c r="K85" s="294"/>
      <c r="L85" s="294"/>
      <c r="M85" s="294"/>
      <c r="N85" s="222"/>
      <c r="O85" s="222"/>
      <c r="P85" s="222"/>
      <c r="Q85" s="222"/>
      <c r="R85" s="222"/>
      <c r="S85" s="222"/>
      <c r="T85" s="222"/>
    </row>
    <row r="86" spans="1:21" ht="30.75" customHeight="1">
      <c r="A86" s="639" t="s">
        <v>1385</v>
      </c>
      <c r="B86" s="633">
        <v>0</v>
      </c>
      <c r="C86" s="110" t="s">
        <v>1386</v>
      </c>
      <c r="D86" s="707" t="s">
        <v>1387</v>
      </c>
      <c r="E86" s="707"/>
      <c r="F86" s="707"/>
      <c r="H86" s="242"/>
      <c r="I86" s="243"/>
      <c r="J86" s="293"/>
      <c r="K86" s="285"/>
      <c r="L86" s="285"/>
      <c r="M86" s="285"/>
      <c r="N86" s="222"/>
      <c r="O86" s="222"/>
      <c r="P86" s="222"/>
      <c r="Q86" s="222"/>
      <c r="R86" s="222"/>
      <c r="S86" s="222"/>
      <c r="U86" s="222"/>
    </row>
    <row r="87" spans="1:21" ht="30.75" customHeight="1">
      <c r="A87" s="637" t="s">
        <v>1388</v>
      </c>
      <c r="B87" s="635" t="s">
        <v>1274</v>
      </c>
      <c r="D87" s="707" t="s">
        <v>1387</v>
      </c>
      <c r="E87" s="707"/>
      <c r="F87" s="707"/>
      <c r="H87" s="242"/>
      <c r="I87" s="243"/>
      <c r="J87" s="295"/>
      <c r="K87" s="279"/>
      <c r="L87" s="279"/>
      <c r="M87" s="279"/>
      <c r="N87" s="222"/>
      <c r="O87" s="222"/>
      <c r="P87" s="222"/>
      <c r="Q87" s="222"/>
      <c r="R87" s="222"/>
      <c r="S87" s="222"/>
    </row>
    <row r="88" spans="1:21" ht="37.5" customHeight="1">
      <c r="A88" s="639" t="s">
        <v>75</v>
      </c>
      <c r="B88" s="635">
        <v>0</v>
      </c>
      <c r="C88" s="110" t="s">
        <v>1389</v>
      </c>
      <c r="D88" s="707" t="s">
        <v>1390</v>
      </c>
      <c r="E88" s="707"/>
      <c r="F88" s="707"/>
      <c r="H88" s="242"/>
      <c r="I88" s="243"/>
      <c r="J88" s="298"/>
      <c r="K88" s="243"/>
      <c r="L88" s="243"/>
      <c r="M88" s="243"/>
      <c r="N88" s="222"/>
      <c r="O88" s="222"/>
      <c r="P88" s="222"/>
      <c r="Q88" s="222"/>
      <c r="R88" s="222"/>
      <c r="S88" s="222"/>
    </row>
    <row r="89" spans="1:21" ht="33" customHeight="1" thickBot="1">
      <c r="A89" s="638" t="s">
        <v>1391</v>
      </c>
      <c r="B89" s="312">
        <v>0</v>
      </c>
      <c r="C89" s="110" t="s">
        <v>1392</v>
      </c>
      <c r="D89" s="707" t="s">
        <v>1378</v>
      </c>
      <c r="E89" s="707"/>
      <c r="F89" s="707"/>
      <c r="H89" s="242"/>
      <c r="I89" s="243"/>
      <c r="J89" s="298"/>
      <c r="K89" s="243"/>
      <c r="L89" s="243"/>
      <c r="M89" s="243"/>
      <c r="N89" s="222"/>
      <c r="O89" s="222"/>
      <c r="P89" s="222"/>
      <c r="Q89" s="222"/>
      <c r="R89" s="222"/>
      <c r="S89" s="222"/>
    </row>
    <row r="90" spans="1:21" ht="33" customHeight="1">
      <c r="D90" s="712" t="str">
        <f>IF(B5="Yes","NOTE: Assessor must verify that the installed storage volume is greater than used in test results",IF('DHW Calc'!U14&gt;0,'DHW Calc'!U16,IF('DHW Calc'!V14&gt;0,'DHW Calc'!V16,"")))</f>
        <v/>
      </c>
      <c r="E90" s="712"/>
      <c r="F90" s="712"/>
      <c r="H90" s="242"/>
      <c r="I90" s="243"/>
      <c r="J90" s="298"/>
      <c r="K90" s="217"/>
      <c r="L90" s="217"/>
      <c r="M90" s="217"/>
      <c r="N90" s="222"/>
      <c r="O90" s="222"/>
      <c r="P90" s="222"/>
      <c r="Q90" s="222"/>
      <c r="R90" s="222"/>
      <c r="S90" s="222"/>
    </row>
    <row r="91" spans="1:21" ht="30.75" customHeight="1" thickBot="1">
      <c r="A91" s="261" t="s">
        <v>1393</v>
      </c>
      <c r="H91" s="242"/>
      <c r="I91" s="243"/>
      <c r="J91" s="289"/>
      <c r="K91" s="285"/>
      <c r="L91" s="285"/>
      <c r="M91" s="285"/>
      <c r="N91" s="222"/>
      <c r="O91" s="222"/>
      <c r="P91" s="222"/>
      <c r="Q91" s="222"/>
      <c r="R91" s="222"/>
      <c r="S91" s="222"/>
      <c r="T91" s="222"/>
    </row>
    <row r="92" spans="1:21" ht="30.75" customHeight="1">
      <c r="A92" s="303" t="s">
        <v>1394</v>
      </c>
      <c r="B92" s="304" t="s">
        <v>245</v>
      </c>
      <c r="H92" s="242"/>
      <c r="I92" s="243"/>
      <c r="J92" s="293"/>
      <c r="K92" s="285"/>
      <c r="L92" s="285"/>
      <c r="M92" s="285"/>
      <c r="N92" s="222"/>
      <c r="O92" s="222"/>
      <c r="P92" s="222"/>
      <c r="Q92" s="222"/>
      <c r="R92" s="222"/>
      <c r="S92" s="222"/>
      <c r="T92" s="222"/>
    </row>
    <row r="93" spans="1:21" ht="30.75" customHeight="1">
      <c r="A93" s="305" t="s">
        <v>1395</v>
      </c>
      <c r="B93" s="306">
        <v>3</v>
      </c>
      <c r="C93" s="110" t="s">
        <v>1380</v>
      </c>
      <c r="D93" s="707" t="s">
        <v>1396</v>
      </c>
      <c r="E93" s="707"/>
      <c r="F93" s="707"/>
      <c r="H93" s="242"/>
      <c r="I93" s="243"/>
      <c r="J93" s="293"/>
      <c r="K93" s="285"/>
      <c r="L93" s="285"/>
      <c r="M93" s="285"/>
      <c r="N93" s="222"/>
      <c r="O93" s="222"/>
      <c r="P93" s="222"/>
      <c r="Q93" s="222"/>
      <c r="R93" s="222"/>
      <c r="S93" s="222"/>
      <c r="T93" s="222"/>
    </row>
    <row r="94" spans="1:21" ht="30.75" customHeight="1">
      <c r="A94" s="307" t="s">
        <v>1397</v>
      </c>
      <c r="B94" s="291" t="s">
        <v>245</v>
      </c>
      <c r="D94" s="707" t="s">
        <v>1398</v>
      </c>
      <c r="E94" s="707"/>
      <c r="F94" s="707"/>
      <c r="H94" s="242"/>
      <c r="I94" s="243"/>
      <c r="J94" s="293"/>
      <c r="K94" s="285"/>
      <c r="L94" s="285"/>
      <c r="M94" s="285"/>
      <c r="N94" s="222"/>
      <c r="O94" s="222"/>
      <c r="P94" s="222"/>
      <c r="Q94" s="222"/>
      <c r="R94" s="222"/>
      <c r="S94" s="222"/>
      <c r="T94" s="222"/>
      <c r="U94" s="222"/>
    </row>
    <row r="95" spans="1:21" ht="30.75" customHeight="1">
      <c r="A95" s="307" t="s">
        <v>1399</v>
      </c>
      <c r="B95" s="291" t="s">
        <v>246</v>
      </c>
      <c r="C95" s="257" t="s">
        <v>206</v>
      </c>
      <c r="D95" s="707" t="s">
        <v>1398</v>
      </c>
      <c r="E95" s="707"/>
      <c r="F95" s="707"/>
      <c r="H95" s="242"/>
      <c r="I95" s="243"/>
      <c r="J95" s="295"/>
      <c r="K95" s="279"/>
      <c r="L95" s="279"/>
      <c r="M95" s="279"/>
      <c r="N95" s="222"/>
      <c r="O95" s="222"/>
      <c r="P95" s="222"/>
      <c r="Q95" s="222"/>
      <c r="R95" s="222"/>
      <c r="S95" s="222"/>
      <c r="T95" s="222"/>
      <c r="U95" s="222"/>
    </row>
    <row r="96" spans="1:21" ht="30.75" customHeight="1" thickBot="1">
      <c r="A96" s="308" t="str">
        <f>IF(B72=65,"Does heat pump reach a flow temperature of &gt;=65oC","Does heat pump reach a flow temperature of &gt;=60oC")</f>
        <v>Does heat pump reach a flow temperature of &gt;=65oC</v>
      </c>
      <c r="B96" s="302" t="s">
        <v>246</v>
      </c>
      <c r="C96" s="257" t="s">
        <v>206</v>
      </c>
      <c r="D96" s="707" t="s">
        <v>1400</v>
      </c>
      <c r="E96" s="707"/>
      <c r="F96" s="707"/>
      <c r="H96" s="242"/>
      <c r="I96" s="243"/>
      <c r="J96" s="298"/>
      <c r="K96" s="294"/>
      <c r="L96" s="294"/>
      <c r="M96" s="294"/>
      <c r="N96" s="222"/>
      <c r="O96" s="222"/>
      <c r="P96" s="222"/>
      <c r="Q96" s="222"/>
      <c r="R96" s="222"/>
      <c r="S96" s="222"/>
      <c r="T96" s="222"/>
    </row>
    <row r="97" spans="1:20" ht="30.75" customHeight="1">
      <c r="H97" s="242"/>
      <c r="I97" s="243"/>
      <c r="J97" s="298"/>
      <c r="K97" s="294"/>
      <c r="L97" s="294"/>
      <c r="M97" s="294"/>
      <c r="N97" s="222"/>
      <c r="O97" s="222"/>
      <c r="P97" s="222"/>
      <c r="Q97" s="222"/>
      <c r="R97" s="222"/>
      <c r="S97" s="222"/>
      <c r="T97" s="222"/>
    </row>
    <row r="98" spans="1:20" ht="33" customHeight="1">
      <c r="H98" s="242"/>
      <c r="I98" s="243"/>
      <c r="J98" s="244"/>
      <c r="K98" s="217"/>
      <c r="L98" s="217"/>
      <c r="M98" s="217"/>
      <c r="N98" s="222"/>
      <c r="O98" s="222"/>
      <c r="P98" s="222"/>
      <c r="Q98" s="222"/>
      <c r="R98" s="222"/>
      <c r="S98" s="222"/>
    </row>
    <row r="99" spans="1:20" ht="33" customHeight="1" thickBot="1">
      <c r="A99" s="261" t="s">
        <v>1401</v>
      </c>
      <c r="H99" s="242"/>
      <c r="I99" s="243"/>
      <c r="J99" s="244"/>
      <c r="K99" s="217"/>
      <c r="L99" s="217"/>
      <c r="M99" s="217"/>
    </row>
    <row r="100" spans="1:20" ht="33" customHeight="1">
      <c r="A100" s="309" t="s">
        <v>1402</v>
      </c>
      <c r="B100" s="313">
        <v>0</v>
      </c>
      <c r="C100" s="110" t="s">
        <v>1380</v>
      </c>
      <c r="D100" s="707" t="s">
        <v>1403</v>
      </c>
      <c r="E100" s="707"/>
      <c r="F100" s="707"/>
      <c r="H100" s="242"/>
      <c r="I100" s="243"/>
      <c r="J100" s="263"/>
      <c r="K100" s="243"/>
      <c r="L100" s="243"/>
      <c r="M100" s="217"/>
      <c r="N100" s="110" t="s">
        <v>206</v>
      </c>
    </row>
    <row r="101" spans="1:20" ht="37.5" customHeight="1">
      <c r="A101" s="307" t="s">
        <v>1381</v>
      </c>
      <c r="B101" s="306">
        <v>0</v>
      </c>
      <c r="C101" s="240" t="s">
        <v>1305</v>
      </c>
      <c r="D101" s="707" t="s">
        <v>1404</v>
      </c>
      <c r="E101" s="707"/>
      <c r="F101" s="707"/>
      <c r="H101" s="242"/>
      <c r="I101" s="243"/>
      <c r="J101" s="244"/>
      <c r="K101" s="243"/>
      <c r="L101" s="243"/>
      <c r="M101" s="243"/>
      <c r="N101" s="110" t="s">
        <v>206</v>
      </c>
    </row>
    <row r="102" spans="1:20" ht="31.5" customHeight="1" thickBot="1">
      <c r="A102" s="308" t="s">
        <v>1405</v>
      </c>
      <c r="B102" s="312">
        <v>0</v>
      </c>
      <c r="C102" s="110" t="s">
        <v>1386</v>
      </c>
      <c r="D102" s="707" t="s">
        <v>1403</v>
      </c>
      <c r="E102" s="707"/>
      <c r="F102" s="707"/>
      <c r="H102" s="242"/>
      <c r="I102" s="243"/>
      <c r="J102" s="244"/>
      <c r="K102" s="243"/>
      <c r="L102" s="243"/>
      <c r="M102" s="243"/>
    </row>
    <row r="103" spans="1:20" ht="31.5" customHeight="1" thickBot="1">
      <c r="H103" s="242"/>
      <c r="I103" s="243"/>
      <c r="J103" s="244"/>
      <c r="K103" s="243"/>
      <c r="L103" s="243"/>
      <c r="M103" s="243"/>
    </row>
    <row r="104" spans="1:20" ht="31.5" customHeight="1" thickBot="1">
      <c r="A104" s="241" t="s">
        <v>1105</v>
      </c>
      <c r="B104" s="258"/>
      <c r="C104" s="258"/>
      <c r="D104" s="220"/>
      <c r="E104" s="220"/>
      <c r="F104" s="220"/>
      <c r="G104" s="220"/>
      <c r="H104" s="220"/>
      <c r="I104" s="220"/>
      <c r="J104" s="244"/>
      <c r="K104" s="243"/>
      <c r="L104" s="243"/>
      <c r="M104" s="243"/>
    </row>
    <row r="105" spans="1:20" ht="31.5" customHeight="1" thickBot="1">
      <c r="A105" s="314" t="s">
        <v>1105</v>
      </c>
      <c r="H105" s="242"/>
      <c r="I105" s="243"/>
      <c r="J105" s="244"/>
      <c r="K105" s="243"/>
      <c r="L105" s="243"/>
      <c r="M105" s="243"/>
    </row>
    <row r="106" spans="1:20" ht="31.5" customHeight="1">
      <c r="A106" s="315" t="s">
        <v>1406</v>
      </c>
      <c r="B106" s="219" t="e">
        <f>IF(B14="I.S. EN 14825",IF(AN3&gt;0,"Errors present in Tool, please correct",'Heating Calc'!H71),B93)</f>
        <v>#DIV/0!</v>
      </c>
      <c r="C106" s="110" t="s">
        <v>1276</v>
      </c>
      <c r="D106" s="707" t="s">
        <v>1407</v>
      </c>
      <c r="E106" s="707"/>
      <c r="F106" s="707"/>
      <c r="G106" s="110" t="s">
        <v>206</v>
      </c>
      <c r="H106" s="242"/>
      <c r="I106" s="243"/>
      <c r="J106" s="244"/>
      <c r="K106" s="243"/>
      <c r="L106" s="243"/>
      <c r="M106" s="243"/>
    </row>
    <row r="107" spans="1:20" ht="31.5" customHeight="1">
      <c r="A107" s="316" t="s">
        <v>1408</v>
      </c>
      <c r="B107" s="317">
        <f>IF($B$14="I.S. EN 14825",1,IF(B25=35,1,IF(B25&lt;50,0.85,IF(B94="Yes",0.75,0.7))))</f>
        <v>1</v>
      </c>
      <c r="D107" s="707" t="s">
        <v>1407</v>
      </c>
      <c r="E107" s="707"/>
      <c r="F107" s="707"/>
      <c r="H107" s="242"/>
      <c r="I107" s="243"/>
      <c r="J107" s="244"/>
      <c r="K107" s="243"/>
      <c r="L107" s="243"/>
      <c r="M107" s="243"/>
    </row>
    <row r="108" spans="1:20" ht="31.5" customHeight="1">
      <c r="A108" s="316" t="s">
        <v>1409</v>
      </c>
      <c r="B108" s="218">
        <f>IF(B68="I.S. EN 16147",'DHW Calc'!B30,IF(B68="I.S. EN 255-3",'DHW Calc'!B57,'DHW Calc'!B75))</f>
        <v>1.5</v>
      </c>
      <c r="C108" s="110" t="s">
        <v>1276</v>
      </c>
      <c r="D108" s="707" t="s">
        <v>1410</v>
      </c>
      <c r="E108" s="707"/>
      <c r="F108" s="707"/>
      <c r="H108" s="242"/>
      <c r="I108" s="243"/>
      <c r="J108" s="263"/>
      <c r="K108" s="243"/>
      <c r="L108" s="243"/>
      <c r="M108" s="243"/>
    </row>
    <row r="109" spans="1:20" ht="31.5" customHeight="1" thickBot="1">
      <c r="A109" s="318" t="s">
        <v>1411</v>
      </c>
      <c r="B109" s="319">
        <f>IF(B68="I.S. EN 14511",IF(AND(B95="No",B96="Yes"),0.7,1),1)</f>
        <v>1</v>
      </c>
      <c r="D109" s="707" t="s">
        <v>1410</v>
      </c>
      <c r="E109" s="707"/>
      <c r="F109" s="707"/>
      <c r="H109" s="242"/>
      <c r="I109" s="243"/>
      <c r="J109" s="263"/>
      <c r="K109" s="243"/>
      <c r="L109" s="243"/>
      <c r="M109" s="243"/>
    </row>
    <row r="110" spans="1:20" ht="31.5" customHeight="1" thickBot="1">
      <c r="H110" s="242"/>
      <c r="I110" s="243"/>
      <c r="J110" s="263"/>
      <c r="K110" s="243"/>
      <c r="L110" s="243"/>
      <c r="M110" s="243"/>
    </row>
    <row r="111" spans="1:20" ht="31.5" customHeight="1" thickBot="1">
      <c r="A111" s="320" t="s">
        <v>1412</v>
      </c>
      <c r="B111" s="599" t="str">
        <f>IF(B5="No",IF('ER1'!I4="Exhaust Air Heat Pump",('Heating Calc'!H82)/('Heating Calc'!H79),"NA"),IF('ER2'!A26="Exhaust Air Heat Pump",('Heating Calc'!H82)/('Heating Calc'!H79),"NA"))</f>
        <v>NA</v>
      </c>
      <c r="C111" s="110" t="s">
        <v>206</v>
      </c>
      <c r="D111" s="711" t="s">
        <v>206</v>
      </c>
      <c r="E111" s="711"/>
      <c r="F111" s="711"/>
      <c r="H111" s="242"/>
      <c r="I111" s="243"/>
      <c r="J111" s="263"/>
      <c r="K111" s="243"/>
      <c r="L111" s="243"/>
      <c r="M111" s="243"/>
    </row>
    <row r="112" spans="1:20" ht="36.75" customHeight="1" thickBot="1">
      <c r="A112" s="320" t="s">
        <v>1413</v>
      </c>
      <c r="B112" s="599" t="str">
        <f>IF(B5="No",IF('ER1'!I14="Exhaust Air Heat Pump",('DHW Calc'!B38/'DHW Calc'!B32),"NA"),IF('ER2'!A27="Exhaust Air Heat Pump",('DHW Calc'!B38/'DHW Calc'!B32),"NA"))</f>
        <v>NA</v>
      </c>
      <c r="H112" s="242"/>
      <c r="I112" s="243"/>
      <c r="J112" s="244"/>
      <c r="K112" s="243"/>
      <c r="L112" s="243"/>
      <c r="M112" s="243"/>
    </row>
    <row r="113" spans="1:14">
      <c r="H113" s="242"/>
      <c r="I113" s="243"/>
      <c r="J113" s="244"/>
      <c r="K113" s="243"/>
      <c r="L113" s="243"/>
      <c r="M113" s="243"/>
    </row>
    <row r="114" spans="1:14" ht="16" thickBot="1">
      <c r="H114" s="242"/>
      <c r="I114" s="243"/>
      <c r="J114" s="244"/>
      <c r="K114" s="243"/>
      <c r="L114" s="243"/>
      <c r="M114" s="243"/>
    </row>
    <row r="115" spans="1:14" ht="30.75" customHeight="1">
      <c r="A115" s="315" t="s">
        <v>1414</v>
      </c>
      <c r="B115" s="540" t="e">
        <f>IF(B14="I.S. EN 14511",1,'Heating Calc'!H60/('Heating Calc'!H60+'Heating Calc'!H62))</f>
        <v>#DIV/0!</v>
      </c>
      <c r="C115" s="111" t="s">
        <v>1415</v>
      </c>
      <c r="D115" s="542" t="e">
        <f>IF(B14="I.S. EN 14511",IF(B5="No",B17,B17*B8/B7),'Heating Calc'!H75)</f>
        <v>#DIV/0!</v>
      </c>
      <c r="E115" s="111" t="s">
        <v>1416</v>
      </c>
      <c r="F115" s="544" t="e">
        <f>IF(B14="I.S. EN 14511",(B106*B107)*100,'Heating Calc'!H77*100)</f>
        <v>#DIV/0!</v>
      </c>
      <c r="H115" s="242"/>
      <c r="I115" s="243"/>
      <c r="J115" s="244"/>
      <c r="K115" s="243"/>
      <c r="L115" s="243"/>
      <c r="M115" s="243"/>
    </row>
    <row r="116" spans="1:14" ht="30.75" customHeight="1" thickBot="1">
      <c r="A116" s="318" t="s">
        <v>1417</v>
      </c>
      <c r="B116" s="541">
        <f>IF(B68="I.S. EN 16147",1-'DHW Calc'!B17,1)</f>
        <v>1</v>
      </c>
      <c r="C116" s="111" t="s">
        <v>1418</v>
      </c>
      <c r="D116" s="543">
        <f>IF(B68="I.S. EN 16147",'DHW Calc'!B34,IF(B5="No",B69,B69*B8/B7))</f>
        <v>2488.6104499012713</v>
      </c>
      <c r="E116" s="111" t="s">
        <v>1419</v>
      </c>
      <c r="F116" s="545">
        <f>IF(B68="I.S. EN 16147",'DHW Calc'!B12*100,(B108*B109)*100)</f>
        <v>150</v>
      </c>
      <c r="H116" s="242"/>
      <c r="I116" s="243"/>
      <c r="J116" s="244"/>
      <c r="K116" s="217"/>
      <c r="L116" s="217"/>
      <c r="M116" s="217"/>
    </row>
    <row r="117" spans="1:14" ht="30.75" customHeight="1">
      <c r="H117" s="242"/>
      <c r="I117" s="243"/>
      <c r="J117" s="244"/>
      <c r="K117" s="217"/>
      <c r="L117" s="217"/>
      <c r="M117" s="217"/>
    </row>
    <row r="118" spans="1:14" ht="30.75" customHeight="1">
      <c r="H118" s="242"/>
      <c r="I118" s="243"/>
      <c r="J118" s="244"/>
      <c r="K118" s="243"/>
      <c r="L118" s="243"/>
      <c r="M118" s="243"/>
    </row>
    <row r="119" spans="1:14" ht="18.75" customHeight="1">
      <c r="H119" s="242"/>
      <c r="I119" s="243"/>
      <c r="J119" s="263"/>
      <c r="K119" s="243"/>
      <c r="L119" s="243"/>
      <c r="M119" s="243"/>
      <c r="N119" s="257" t="s">
        <v>206</v>
      </c>
    </row>
    <row r="120" spans="1:14" ht="28.5" customHeight="1">
      <c r="H120" s="242"/>
      <c r="I120" s="243"/>
      <c r="J120" s="260"/>
      <c r="K120" s="259"/>
      <c r="L120" s="259"/>
      <c r="M120" s="259"/>
    </row>
    <row r="121" spans="1:14" ht="30.75" customHeight="1">
      <c r="J121" s="244"/>
      <c r="K121" s="243"/>
      <c r="L121" s="243"/>
      <c r="M121" s="243"/>
    </row>
    <row r="122" spans="1:14" ht="30.75" customHeight="1">
      <c r="J122" s="244"/>
      <c r="K122" s="243"/>
      <c r="L122" s="243"/>
      <c r="M122" s="243"/>
    </row>
    <row r="123" spans="1:14" ht="30.75" customHeight="1">
      <c r="J123" s="244"/>
      <c r="K123" s="243"/>
      <c r="L123" s="243"/>
      <c r="M123" s="243"/>
    </row>
    <row r="124" spans="1:14" ht="30.75" customHeight="1">
      <c r="J124" s="244"/>
      <c r="K124" s="243"/>
      <c r="L124" s="243"/>
      <c r="M124" s="243"/>
    </row>
    <row r="125" spans="1:14" ht="30.75" customHeight="1">
      <c r="J125" s="244"/>
      <c r="K125" s="243"/>
      <c r="L125" s="243"/>
      <c r="M125" s="243"/>
    </row>
    <row r="126" spans="1:14" ht="30.75" customHeight="1">
      <c r="J126" s="244"/>
      <c r="K126" s="243"/>
      <c r="L126" s="243"/>
      <c r="M126" s="243"/>
    </row>
    <row r="127" spans="1:14" ht="86.25" customHeight="1">
      <c r="J127" s="244"/>
      <c r="K127" s="243"/>
      <c r="L127" s="243"/>
      <c r="M127" s="243"/>
    </row>
    <row r="128" spans="1:14">
      <c r="J128" s="244"/>
      <c r="K128" s="243"/>
      <c r="L128" s="243"/>
      <c r="M128" s="243"/>
    </row>
    <row r="129" spans="10:13" ht="32.25" customHeight="1">
      <c r="J129" s="244"/>
      <c r="K129" s="217"/>
      <c r="L129" s="217"/>
      <c r="M129" s="217"/>
    </row>
    <row r="130" spans="10:13">
      <c r="J130" s="244"/>
      <c r="K130" s="243"/>
      <c r="L130" s="243"/>
      <c r="M130" s="243"/>
    </row>
    <row r="131" spans="10:13">
      <c r="J131" s="244"/>
      <c r="K131" s="243"/>
      <c r="L131" s="243"/>
      <c r="M131" s="243"/>
    </row>
    <row r="132" spans="10:13">
      <c r="J132" s="244"/>
      <c r="K132" s="243"/>
      <c r="L132" s="243"/>
      <c r="M132" s="243"/>
    </row>
    <row r="133" spans="10:13">
      <c r="J133" s="244"/>
      <c r="K133" s="243"/>
      <c r="L133" s="243"/>
      <c r="M133" s="243"/>
    </row>
    <row r="134" spans="10:13">
      <c r="J134" s="244"/>
      <c r="K134" s="243"/>
      <c r="L134" s="243"/>
      <c r="M134" s="243"/>
    </row>
    <row r="135" spans="10:13">
      <c r="J135" s="244"/>
      <c r="K135" s="243"/>
      <c r="L135" s="243"/>
      <c r="M135" s="243"/>
    </row>
  </sheetData>
  <sheetProtection algorithmName="SHA-512" hashValue="5AObUyzP5mimaM5CyGaLMHEmVtjZJy9Jx36LMj5XjhNIv/7h+6zoYBvS5X+mY3Uim+d8tBY9rCi9mczzno4hfQ==" saltValue="B9zCma9ZLk7jC5JJXkgohQ==" spinCount="100000" sheet="1" objects="1" scenarios="1"/>
  <mergeCells count="69">
    <mergeCell ref="D22:F22"/>
    <mergeCell ref="D24:F24"/>
    <mergeCell ref="D25:F25"/>
    <mergeCell ref="D26:F26"/>
    <mergeCell ref="D27:F2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7">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56 A60:I61 B58:I59 A42:I44 A39:A41 C39:I41">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1796875" defaultRowHeight="12.5"/>
  <cols>
    <col min="1" max="1" width="41.81640625" style="322" customWidth="1"/>
    <col min="2" max="2" width="25.453125" style="322" customWidth="1"/>
    <col min="3" max="3" width="9.54296875" style="322" bestFit="1" customWidth="1"/>
    <col min="4" max="4" width="11.54296875" style="322" bestFit="1" customWidth="1"/>
    <col min="5" max="7" width="15" style="322" customWidth="1"/>
    <col min="8" max="8" width="11.81640625" style="322" customWidth="1"/>
    <col min="9" max="9" width="22.54296875" style="322" customWidth="1"/>
    <col min="10" max="10" width="35.453125" style="322" customWidth="1"/>
    <col min="11" max="11" width="14.54296875" style="322" customWidth="1"/>
    <col min="12" max="12" width="36.1796875" style="330" customWidth="1"/>
    <col min="13" max="13" width="14.54296875" style="322" customWidth="1"/>
    <col min="14" max="14" width="9.1796875" style="322"/>
    <col min="15" max="15" width="15.81640625" style="322" customWidth="1"/>
    <col min="16" max="16" width="15.54296875" style="322" customWidth="1"/>
    <col min="17" max="19" width="16.81640625" style="322" customWidth="1"/>
    <col min="20" max="20" width="20" style="322" customWidth="1"/>
    <col min="21" max="21" width="18.54296875" style="322" customWidth="1"/>
    <col min="22" max="22" width="11.453125" style="322" customWidth="1"/>
    <col min="23" max="23" width="10.81640625" style="322" customWidth="1"/>
    <col min="24" max="24" width="9.1796875" style="322"/>
    <col min="25" max="25" width="11.54296875" style="322" customWidth="1"/>
    <col min="26" max="27" width="14.54296875" style="322" customWidth="1"/>
    <col min="28" max="28" width="12.54296875" style="322" customWidth="1"/>
    <col min="29" max="29" width="26" style="330" customWidth="1"/>
    <col min="30" max="31" width="11.453125" style="322" customWidth="1"/>
    <col min="32" max="16384" width="9.1796875" style="322"/>
  </cols>
  <sheetData>
    <row r="1" spans="1:35" ht="18.5" thickBot="1">
      <c r="A1" s="321" t="s">
        <v>1420</v>
      </c>
      <c r="C1" s="322" t="s">
        <v>1421</v>
      </c>
      <c r="D1" s="322" t="s">
        <v>1422</v>
      </c>
      <c r="E1" s="322" t="s">
        <v>1423</v>
      </c>
      <c r="F1" s="322" t="s">
        <v>1424</v>
      </c>
      <c r="G1" s="322" t="s">
        <v>1425</v>
      </c>
      <c r="H1" s="322" t="s">
        <v>864</v>
      </c>
      <c r="I1" s="323" t="s">
        <v>1426</v>
      </c>
      <c r="J1" s="238"/>
      <c r="K1" s="324"/>
      <c r="L1" s="238"/>
      <c r="M1" s="324"/>
      <c r="N1" s="239"/>
      <c r="O1" s="322" t="s">
        <v>1427</v>
      </c>
      <c r="P1" s="322" t="s">
        <v>206</v>
      </c>
      <c r="Q1" s="322" t="s">
        <v>206</v>
      </c>
      <c r="T1" s="325">
        <f>IF(HP!B29=24,(1-AG24)*H8,IF(HP!B29=16,(1-AH24)*H8,(1-AI24)*H8))</f>
        <v>-71.093076513697426</v>
      </c>
      <c r="U1" s="325">
        <f>H12</f>
        <v>2488.6104499012708</v>
      </c>
      <c r="AA1" s="322">
        <f>IF(HP!B29=24,(AG24)*H8,IF(HP!B29=16,(AH24)*H8,(AI24)*H8))</f>
        <v>2892.2469064223378</v>
      </c>
      <c r="AC1" s="238"/>
      <c r="AD1" s="324"/>
    </row>
    <row r="2" spans="1:35">
      <c r="A2" s="322" t="s">
        <v>1428</v>
      </c>
      <c r="B2" s="323" t="s">
        <v>1429</v>
      </c>
      <c r="C2" s="326" t="s">
        <v>1430</v>
      </c>
      <c r="D2" s="326" t="s">
        <v>1431</v>
      </c>
      <c r="E2" s="326" t="s">
        <v>1432</v>
      </c>
      <c r="F2" s="326" t="s">
        <v>1433</v>
      </c>
      <c r="G2" s="326" t="s">
        <v>1434</v>
      </c>
      <c r="J2" s="327"/>
      <c r="K2" s="328"/>
      <c r="L2" s="329"/>
      <c r="M2" s="328"/>
      <c r="AD2" s="323" t="s">
        <v>206</v>
      </c>
    </row>
    <row r="3" spans="1:35" ht="69.75" customHeight="1">
      <c r="A3" s="322" t="s">
        <v>1435</v>
      </c>
      <c r="B3" s="322" t="s">
        <v>1436</v>
      </c>
      <c r="C3" s="325">
        <f>HP!B15</f>
        <v>-10</v>
      </c>
      <c r="D3" s="322">
        <v>-7</v>
      </c>
      <c r="E3" s="322">
        <v>2</v>
      </c>
      <c r="F3" s="322">
        <v>7</v>
      </c>
      <c r="G3" s="322">
        <v>12</v>
      </c>
      <c r="I3" s="322" t="s">
        <v>1437</v>
      </c>
      <c r="J3" s="327"/>
      <c r="K3" s="328"/>
      <c r="L3" s="329"/>
      <c r="M3" s="328" t="s">
        <v>1438</v>
      </c>
      <c r="N3" s="331" t="s">
        <v>1386</v>
      </c>
      <c r="O3" s="330" t="s">
        <v>1439</v>
      </c>
      <c r="P3" s="330" t="s">
        <v>1440</v>
      </c>
      <c r="Q3" s="330" t="s">
        <v>1441</v>
      </c>
      <c r="R3" s="330" t="s">
        <v>1442</v>
      </c>
      <c r="S3" s="330" t="s">
        <v>1443</v>
      </c>
      <c r="T3" s="330" t="s">
        <v>1444</v>
      </c>
      <c r="U3" s="330" t="s">
        <v>1445</v>
      </c>
      <c r="V3" s="330" t="s">
        <v>1446</v>
      </c>
      <c r="W3" s="330" t="s">
        <v>1447</v>
      </c>
      <c r="X3" s="331" t="s">
        <v>1448</v>
      </c>
      <c r="Y3" s="330" t="s">
        <v>1449</v>
      </c>
      <c r="Z3" s="330" t="s">
        <v>1450</v>
      </c>
      <c r="AA3" s="331" t="s">
        <v>1451</v>
      </c>
      <c r="AB3" s="331" t="s">
        <v>1452</v>
      </c>
      <c r="AC3" s="327" t="s">
        <v>1453</v>
      </c>
      <c r="AD3" s="328"/>
      <c r="AF3" s="725" t="s">
        <v>1454</v>
      </c>
      <c r="AG3" s="725"/>
      <c r="AH3" s="725"/>
      <c r="AI3" s="725"/>
    </row>
    <row r="4" spans="1:35" ht="14.5">
      <c r="A4" s="323" t="s">
        <v>1455</v>
      </c>
      <c r="B4" s="322" t="s">
        <v>1456</v>
      </c>
      <c r="C4" s="322">
        <v>-12</v>
      </c>
      <c r="D4" s="322">
        <f>(C3+D3)/2</f>
        <v>-8.5</v>
      </c>
      <c r="E4" s="322">
        <f>(D3+E3)/2</f>
        <v>-2.5</v>
      </c>
      <c r="F4" s="322">
        <f>(E3+F3)/2</f>
        <v>4.5</v>
      </c>
      <c r="G4" s="322">
        <f>(F3+G3)/2</f>
        <v>9.5</v>
      </c>
      <c r="I4" s="323" t="s">
        <v>1457</v>
      </c>
      <c r="J4" s="327"/>
      <c r="K4" s="328"/>
      <c r="L4" s="329"/>
      <c r="M4" s="332">
        <f>C3</f>
        <v>-10</v>
      </c>
      <c r="N4" s="325">
        <f>C41</f>
        <v>0</v>
      </c>
      <c r="O4" s="333">
        <v>-12</v>
      </c>
      <c r="P4" s="334">
        <f>'Meteorological data'!F4</f>
        <v>0</v>
      </c>
      <c r="Q4" s="334">
        <f>'Meteorological data'!G4</f>
        <v>0</v>
      </c>
      <c r="R4" s="335">
        <v>0</v>
      </c>
      <c r="S4" s="336">
        <f>R4*((24-HP!$B$30)/24)</f>
        <v>0</v>
      </c>
      <c r="T4" s="336">
        <f>$T$1*P4</f>
        <v>0</v>
      </c>
      <c r="U4" s="336">
        <f>$U$1*Q4</f>
        <v>0</v>
      </c>
      <c r="V4" s="336">
        <f>IF(HP!$N$12=TRUE,(T4+U4),T4)</f>
        <v>0</v>
      </c>
      <c r="W4" s="325">
        <f>HP!$B$19+(((HP!$B$25-HP!$B$28)/2)*((HP!$B$19-O4)/(HP!$B$19-HP!$B$18)))+((AVERAGE(HP!$B$25,HP!$B$28)-HP!$B$19)*((HP!$B$19-O4)/(HP!$B$19-HP!$B$18))^(1/HP!$B$26))</f>
        <v>40.832193218413607</v>
      </c>
      <c r="X4" s="325">
        <f>(($X$9-$N$4)/($O$9-$M$4))*(O4-$M$4)+$N$4</f>
        <v>0</v>
      </c>
      <c r="Y4" s="336" t="e">
        <f>V4/X4</f>
        <v>#DIV/0!</v>
      </c>
      <c r="Z4" s="336" t="e">
        <f>IF((Y4-S4)&lt;0,0,(Y4-S4))</f>
        <v>#DIV/0!</v>
      </c>
      <c r="AA4" s="336">
        <f>$AA$1*P4</f>
        <v>0</v>
      </c>
      <c r="AB4" s="336" t="e">
        <f>X4*Z4</f>
        <v>#DIV/0!</v>
      </c>
      <c r="AC4" s="337" t="e">
        <f>AA4+AB4</f>
        <v>#DIV/0!</v>
      </c>
      <c r="AD4" s="338"/>
      <c r="AF4" s="323" t="s">
        <v>1458</v>
      </c>
      <c r="AG4" s="322">
        <v>24</v>
      </c>
      <c r="AH4" s="322">
        <v>16</v>
      </c>
      <c r="AI4" s="322">
        <v>11</v>
      </c>
    </row>
    <row r="5" spans="1:35" ht="14.5">
      <c r="A5" s="323" t="s">
        <v>1459</v>
      </c>
      <c r="B5" s="322" t="s">
        <v>1456</v>
      </c>
      <c r="C5" s="322">
        <f>(C3+D3)/2</f>
        <v>-8.5</v>
      </c>
      <c r="D5" s="322">
        <f>(D3+E3)/2</f>
        <v>-2.5</v>
      </c>
      <c r="E5" s="322">
        <f>(E3+F3)/2</f>
        <v>4.5</v>
      </c>
      <c r="F5" s="322">
        <f>(F3+G3)/2</f>
        <v>9.5</v>
      </c>
      <c r="G5" s="322">
        <v>35</v>
      </c>
      <c r="I5" s="323" t="s">
        <v>1460</v>
      </c>
      <c r="J5" s="327"/>
      <c r="K5" s="328"/>
      <c r="L5" s="329"/>
      <c r="M5" s="328"/>
      <c r="O5" s="333">
        <f t="shared" ref="O5:O51" si="0">O4+1</f>
        <v>-11</v>
      </c>
      <c r="P5" s="334">
        <f>'Meteorological data'!F5</f>
        <v>0</v>
      </c>
      <c r="Q5" s="334">
        <f>'Meteorological data'!G5</f>
        <v>0</v>
      </c>
      <c r="R5" s="335">
        <v>0</v>
      </c>
      <c r="S5" s="336">
        <f>R5*((24-HP!$B$30)/24)</f>
        <v>0</v>
      </c>
      <c r="T5" s="336">
        <f t="shared" ref="T5:T31" si="1">$T$1*P5</f>
        <v>0</v>
      </c>
      <c r="U5" s="336">
        <f t="shared" ref="U5:U51" si="2">$U$1*Q5</f>
        <v>0</v>
      </c>
      <c r="V5" s="336">
        <f>IF(HP!$N$12=TRUE,(T5+U5),T5)</f>
        <v>0</v>
      </c>
      <c r="W5" s="325">
        <f>HP!$B$19+(((HP!$B$25-HP!$B$28)/2)*((HP!$B$19-O5)/(HP!$B$19-HP!$B$18)))+((AVERAGE(HP!$B$25,HP!$B$28)-HP!$B$19)*((HP!$B$19-O5)/(HP!$B$19-HP!$B$18))^(1/HP!$B$26))</f>
        <v>40.194328817835469</v>
      </c>
      <c r="X5" s="325">
        <f t="shared" ref="X5:X7" si="3">(($X$9-$N$4)/($O$9-$M$4))*(O5-$M$4)+$N$4</f>
        <v>0</v>
      </c>
      <c r="Y5" s="336" t="e">
        <f t="shared" ref="Y5:Y15" si="4">V5/X5</f>
        <v>#DIV/0!</v>
      </c>
      <c r="Z5" s="336" t="e">
        <f t="shared" ref="Z5:Z31" si="5">IF((Y5-S5)&lt;0,0,(Y5-S5))</f>
        <v>#DIV/0!</v>
      </c>
      <c r="AA5" s="336">
        <f t="shared" ref="AA5:AA31" si="6">$AA$1*P5</f>
        <v>0</v>
      </c>
      <c r="AB5" s="336" t="e">
        <f t="shared" ref="AB5:AB31" si="7">X5*Z5</f>
        <v>#DIV/0!</v>
      </c>
      <c r="AC5" s="337" t="e">
        <f t="shared" ref="AC5:AC31" si="8">AA5+AB5</f>
        <v>#DIV/0!</v>
      </c>
      <c r="AD5" s="338"/>
      <c r="AF5" s="322">
        <v>0.2</v>
      </c>
      <c r="AG5" s="322">
        <v>0.4</v>
      </c>
      <c r="AH5" s="322">
        <v>0.53</v>
      </c>
      <c r="AI5" s="322">
        <v>0.64</v>
      </c>
    </row>
    <row r="6" spans="1:35" ht="14.5">
      <c r="A6" s="323" t="s">
        <v>1461</v>
      </c>
      <c r="C6" s="322">
        <f>IF(OR(HP!$B$12="Air to Water",HP!$B$12="Exhaust Air to Water",HP!$B$12="Air to Air"),'Heating Calc'!C3,IF(OR(HP!$B$12="Water to Water",HP!$B$12="Water to Air"),10,0))</f>
        <v>-10</v>
      </c>
      <c r="D6" s="322">
        <f>IF(OR(HP!$B$12="Air to Water",HP!$B$12="Exhaust Air to Water",HP!$B$12="Air to Air"),'Heating Calc'!D3,IF(OR(HP!$B$12="Water to Water",HP!$B$12="Water to Air"),10,0))</f>
        <v>-7</v>
      </c>
      <c r="E6" s="322">
        <f>IF(OR(HP!$B$12="Air to Water",HP!$B$12="Exhaust Air to Water",HP!$B$12="Air to Air"),'Heating Calc'!E3,IF(OR(HP!$B$12="Water to Water",HP!$B$12="Water to Air"),10,0))</f>
        <v>2</v>
      </c>
      <c r="F6" s="322">
        <f>IF(OR(HP!$B$12="Air to Water",HP!$B$12="Exhaust Air to Water",HP!$B$12="Air to Air"),'Heating Calc'!F3,IF(OR(HP!$B$12="Water to Water",HP!$B$12="Water to Air"),10,0))</f>
        <v>7</v>
      </c>
      <c r="G6" s="322">
        <f>IF(OR(HP!$B$12="Air to Water",HP!$B$12="Exhaust Air to Water",HP!$B$12="Air to Air"),'Heating Calc'!G3,IF(OR(HP!$B$12="Water to Water",HP!$B$12="Water to Air"),10,0))</f>
        <v>12</v>
      </c>
      <c r="J6" s="327"/>
      <c r="K6" s="338"/>
      <c r="L6" s="329"/>
      <c r="M6" s="338"/>
      <c r="N6" s="330"/>
      <c r="O6" s="333">
        <f t="shared" si="0"/>
        <v>-10</v>
      </c>
      <c r="P6" s="334">
        <f>'Meteorological data'!F6</f>
        <v>0</v>
      </c>
      <c r="Q6" s="334">
        <f>'Meteorological data'!G6</f>
        <v>0</v>
      </c>
      <c r="R6" s="335">
        <v>0</v>
      </c>
      <c r="S6" s="336">
        <f>R6*((24-HP!$B$30)/24)</f>
        <v>0</v>
      </c>
      <c r="T6" s="336">
        <f>$T$1*P6</f>
        <v>0</v>
      </c>
      <c r="U6" s="336">
        <f t="shared" si="2"/>
        <v>0</v>
      </c>
      <c r="V6" s="336">
        <f>IF(HP!$N$12=TRUE,(T6+U6),T6)</f>
        <v>0</v>
      </c>
      <c r="W6" s="325">
        <f>HP!$B$19+(((HP!$B$25-HP!$B$28)/2)*((HP!$B$19-O6)/(HP!$B$19-HP!$B$18)))+((AVERAGE(HP!$B$25,HP!$B$28)-HP!$B$19)*((HP!$B$19-O6)/(HP!$B$19-HP!$B$18))^(1/HP!$B$26))</f>
        <v>39.554171935372082</v>
      </c>
      <c r="X6" s="325">
        <f t="shared" si="3"/>
        <v>0</v>
      </c>
      <c r="Y6" s="336" t="e">
        <f t="shared" si="4"/>
        <v>#DIV/0!</v>
      </c>
      <c r="Z6" s="336" t="e">
        <f t="shared" si="5"/>
        <v>#DIV/0!</v>
      </c>
      <c r="AA6" s="336">
        <f t="shared" si="6"/>
        <v>0</v>
      </c>
      <c r="AB6" s="336" t="e">
        <f t="shared" si="7"/>
        <v>#DIV/0!</v>
      </c>
      <c r="AC6" s="337" t="e">
        <f t="shared" si="8"/>
        <v>#DIV/0!</v>
      </c>
      <c r="AD6" s="328"/>
      <c r="AF6" s="322">
        <v>0.25</v>
      </c>
      <c r="AG6" s="322">
        <v>0.28000000000000003</v>
      </c>
      <c r="AH6" s="322">
        <v>0.43</v>
      </c>
      <c r="AI6" s="322">
        <v>0.56999999999999995</v>
      </c>
    </row>
    <row r="7" spans="1:35">
      <c r="A7" s="322" t="s">
        <v>1462</v>
      </c>
      <c r="B7" s="322" t="s">
        <v>1463</v>
      </c>
      <c r="C7" s="325">
        <f>('Meteorological data'!E8-'Meteorological data'!E4)/'Meteorological data'!E31</f>
        <v>0</v>
      </c>
      <c r="D7" s="325">
        <f>('Meteorological data'!E14-'Meteorological data'!E8)/'Meteorological data'!E31</f>
        <v>5.8820364757993654E-3</v>
      </c>
      <c r="E7" s="325">
        <f>('Meteorological data'!E20-'Meteorological data'!E14)/'Meteorological data'!E31</f>
        <v>0.30193856141168873</v>
      </c>
      <c r="F7" s="325">
        <f>('Meteorological data'!E25-'Meteorological data'!E20)/'Meteorological data'!E31</f>
        <v>0.46292344386062445</v>
      </c>
      <c r="G7" s="325">
        <f>('Meteorological data'!E31-'Meteorological data'!E25)/'Meteorological data'!E31</f>
        <v>0.22925595825188747</v>
      </c>
      <c r="H7" s="325">
        <f t="shared" ref="H7:H12" si="9">SUM(C7:G7)</f>
        <v>1</v>
      </c>
      <c r="J7" s="327"/>
      <c r="K7" s="338"/>
      <c r="L7" s="327"/>
      <c r="M7" s="338"/>
      <c r="N7" s="323"/>
      <c r="O7" s="333">
        <f t="shared" si="0"/>
        <v>-9</v>
      </c>
      <c r="P7" s="334">
        <f>'Meteorological data'!F7</f>
        <v>0</v>
      </c>
      <c r="Q7" s="334">
        <f>'Meteorological data'!G7</f>
        <v>0</v>
      </c>
      <c r="R7" s="335">
        <v>0</v>
      </c>
      <c r="S7" s="336">
        <f>R7*((24-HP!$B$30)/24)</f>
        <v>0</v>
      </c>
      <c r="T7" s="336">
        <f t="shared" si="1"/>
        <v>0</v>
      </c>
      <c r="U7" s="336">
        <f t="shared" si="2"/>
        <v>0</v>
      </c>
      <c r="V7" s="336">
        <f>IF(HP!$N$12=TRUE,(T7+U7),T7)</f>
        <v>0</v>
      </c>
      <c r="W7" s="325">
        <f>HP!$B$19+(((HP!$B$25-HP!$B$28)/2)*((HP!$B$19-O7)/(HP!$B$19-HP!$B$18)))+((AVERAGE(HP!$B$25,HP!$B$28)-HP!$B$19)*((HP!$B$19-O7)/(HP!$B$19-HP!$B$18))^(1/HP!$B$26))</f>
        <v>38.91162923547089</v>
      </c>
      <c r="X7" s="325">
        <f t="shared" si="3"/>
        <v>0</v>
      </c>
      <c r="Y7" s="336" t="e">
        <f t="shared" si="4"/>
        <v>#DIV/0!</v>
      </c>
      <c r="Z7" s="336" t="e">
        <f t="shared" si="5"/>
        <v>#DIV/0!</v>
      </c>
      <c r="AA7" s="336">
        <f t="shared" si="6"/>
        <v>0</v>
      </c>
      <c r="AB7" s="336" t="e">
        <f t="shared" si="7"/>
        <v>#DIV/0!</v>
      </c>
      <c r="AC7" s="337" t="e">
        <f t="shared" si="8"/>
        <v>#DIV/0!</v>
      </c>
      <c r="AD7" s="338"/>
      <c r="AF7" s="322">
        <v>0.3</v>
      </c>
      <c r="AG7" s="322">
        <v>0.19</v>
      </c>
      <c r="AH7" s="322">
        <v>0.34</v>
      </c>
      <c r="AI7" s="322">
        <v>0.49</v>
      </c>
    </row>
    <row r="8" spans="1:35">
      <c r="A8" s="323" t="s">
        <v>1464</v>
      </c>
      <c r="B8" s="322" t="s">
        <v>1465</v>
      </c>
      <c r="C8" s="325">
        <f>IF(HP!$B$5="No",HP!$B$17*C7,((HP!$B$17*HP!$B$8/HP!$B$7))*C7)</f>
        <v>0</v>
      </c>
      <c r="D8" s="325">
        <f>IF(HP!$B$5="No",HP!$B$17*D7,((HP!$B$17*HP!$B$8/HP!$B$7))*D7)</f>
        <v>16.594129731363701</v>
      </c>
      <c r="E8" s="325">
        <f>IF(HP!$B$5="No",HP!$B$17*E7,((HP!$B$17*HP!$B$8/HP!$B$7))*E7)</f>
        <v>851.81512892369096</v>
      </c>
      <c r="F8" s="325">
        <f>IF(HP!$B$5="No",HP!$B$17*F7,((HP!$B$17*HP!$B$8/HP!$B$7))*F7)</f>
        <v>1305.9782466018983</v>
      </c>
      <c r="G8" s="325">
        <f>IF(HP!$B$5="No",HP!$B$17*G7,((HP!$B$17*HP!$B$8/HP!$B$7))*G7)</f>
        <v>646.76632465168768</v>
      </c>
      <c r="H8" s="325">
        <f t="shared" si="9"/>
        <v>2821.1538299086405</v>
      </c>
      <c r="J8" s="327"/>
      <c r="K8" s="328"/>
      <c r="L8" s="329"/>
      <c r="M8" s="328"/>
      <c r="O8" s="333">
        <f t="shared" si="0"/>
        <v>-8</v>
      </c>
      <c r="P8" s="334">
        <f>'Meteorological data'!F8</f>
        <v>0</v>
      </c>
      <c r="Q8" s="334">
        <f>'Meteorological data'!G8</f>
        <v>0</v>
      </c>
      <c r="R8" s="335">
        <v>0</v>
      </c>
      <c r="S8" s="336">
        <f>R8*((24-HP!$B$30)/24)</f>
        <v>0</v>
      </c>
      <c r="T8" s="336">
        <f t="shared" si="1"/>
        <v>0</v>
      </c>
      <c r="U8" s="336">
        <f t="shared" si="2"/>
        <v>0</v>
      </c>
      <c r="V8" s="336">
        <f>IF(HP!$N$12=TRUE,(T8+U8),T8)</f>
        <v>0</v>
      </c>
      <c r="W8" s="325">
        <f>HP!$B$19+(((HP!$B$25-HP!$B$28)/2)*((HP!$B$19-O8)/(HP!$B$19-HP!$B$18)))+((AVERAGE(HP!$B$25,HP!$B$28)-HP!$B$19)*((HP!$B$19-O8)/(HP!$B$19-HP!$B$18))^(1/HP!$B$26))</f>
        <v>38.26660006871456</v>
      </c>
      <c r="X8" s="325">
        <f>(($X$9-$N$4)/($O$9-$M$4))*(O8-$M$4)+$N$4</f>
        <v>0</v>
      </c>
      <c r="Y8" s="336" t="e">
        <f t="shared" si="4"/>
        <v>#DIV/0!</v>
      </c>
      <c r="Z8" s="336" t="e">
        <f t="shared" si="5"/>
        <v>#DIV/0!</v>
      </c>
      <c r="AA8" s="336">
        <f t="shared" si="6"/>
        <v>0</v>
      </c>
      <c r="AB8" s="336" t="e">
        <f t="shared" si="7"/>
        <v>#DIV/0!</v>
      </c>
      <c r="AC8" s="337" t="e">
        <f t="shared" si="8"/>
        <v>#DIV/0!</v>
      </c>
      <c r="AD8" s="338"/>
      <c r="AF8" s="322">
        <v>0.35</v>
      </c>
      <c r="AG8" s="322">
        <v>0.12</v>
      </c>
      <c r="AH8" s="322">
        <v>0.27</v>
      </c>
      <c r="AI8" s="322">
        <v>0.42</v>
      </c>
    </row>
    <row r="9" spans="1:35">
      <c r="A9" s="323" t="s">
        <v>1442</v>
      </c>
      <c r="B9" s="322" t="s">
        <v>1466</v>
      </c>
      <c r="C9" s="322">
        <f>('Meteorological data'!C8-'Meteorological data'!C4)</f>
        <v>0</v>
      </c>
      <c r="D9" s="322">
        <f>('Meteorological data'!C14-'Meteorological data'!C8)</f>
        <v>18</v>
      </c>
      <c r="E9" s="322">
        <f>('Meteorological data'!C20-'Meteorological data'!C14)</f>
        <v>1247</v>
      </c>
      <c r="F9" s="322">
        <f>('Meteorological data'!C25-'Meteorological data'!C20)</f>
        <v>2933</v>
      </c>
      <c r="G9" s="322">
        <f>('Meteorological data'!C51-'Meteorological data'!C25)</f>
        <v>4562</v>
      </c>
      <c r="H9" s="325">
        <f t="shared" si="9"/>
        <v>8760</v>
      </c>
      <c r="J9" s="327"/>
      <c r="K9" s="327"/>
      <c r="L9" s="329"/>
      <c r="M9" s="327"/>
      <c r="O9" s="339">
        <f t="shared" si="0"/>
        <v>-7</v>
      </c>
      <c r="P9" s="340">
        <f>'Meteorological data'!F9</f>
        <v>0</v>
      </c>
      <c r="Q9" s="340">
        <f>'Meteorological data'!G9</f>
        <v>0</v>
      </c>
      <c r="R9" s="341">
        <v>0</v>
      </c>
      <c r="S9" s="342">
        <f>R9*((24-HP!$B$30)/24)</f>
        <v>0</v>
      </c>
      <c r="T9" s="342">
        <f t="shared" si="1"/>
        <v>0</v>
      </c>
      <c r="U9" s="342">
        <f t="shared" si="2"/>
        <v>0</v>
      </c>
      <c r="V9" s="336">
        <f>IF(HP!$N$12=TRUE,(T9+U9),T9)</f>
        <v>0</v>
      </c>
      <c r="W9" s="343">
        <f>HP!$B$19+(((HP!$B$25-HP!$B$28)/2)*((HP!$B$19-O9)/(HP!$B$19-HP!$B$18)))+((AVERAGE(HP!$B$25,HP!$B$28)-HP!$B$19)*((HP!$B$19-O9)/(HP!$B$19-HP!$B$18))^(1/HP!$B$26))</f>
        <v>37.618975602563452</v>
      </c>
      <c r="X9" s="343">
        <f>D41</f>
        <v>0</v>
      </c>
      <c r="Y9" s="342" t="e">
        <f t="shared" si="4"/>
        <v>#DIV/0!</v>
      </c>
      <c r="Z9" s="342" t="e">
        <f t="shared" si="5"/>
        <v>#DIV/0!</v>
      </c>
      <c r="AA9" s="342">
        <f t="shared" si="6"/>
        <v>0</v>
      </c>
      <c r="AB9" s="342" t="e">
        <f t="shared" si="7"/>
        <v>#DIV/0!</v>
      </c>
      <c r="AC9" s="344" t="e">
        <f t="shared" si="8"/>
        <v>#DIV/0!</v>
      </c>
      <c r="AD9" s="338"/>
      <c r="AF9" s="322">
        <v>0.4</v>
      </c>
      <c r="AG9" s="322">
        <v>0.06</v>
      </c>
      <c r="AH9" s="322">
        <v>0.2</v>
      </c>
      <c r="AI9" s="322">
        <v>0.35</v>
      </c>
    </row>
    <row r="10" spans="1:35">
      <c r="A10" s="323" t="s">
        <v>1443</v>
      </c>
      <c r="B10" s="322" t="s">
        <v>1467</v>
      </c>
      <c r="C10" s="322">
        <f>C9*((24-HP!$B$30)/24)</f>
        <v>0</v>
      </c>
      <c r="D10" s="322">
        <f>D9*((24-HP!$B$30)/24)</f>
        <v>6</v>
      </c>
      <c r="E10" s="322">
        <f>E9*((24-HP!$B$30)/24)</f>
        <v>415.66666666666663</v>
      </c>
      <c r="F10" s="322">
        <f>F9*((24-HP!$B$30)/24)</f>
        <v>977.66666666666663</v>
      </c>
      <c r="G10" s="322">
        <f>G9*((24-HP!$B$30)/24)</f>
        <v>1520.6666666666665</v>
      </c>
      <c r="H10" s="325">
        <f t="shared" si="9"/>
        <v>2920</v>
      </c>
      <c r="J10" s="327"/>
      <c r="K10" s="328"/>
      <c r="L10" s="329"/>
      <c r="M10" s="328"/>
      <c r="O10" s="333">
        <f t="shared" si="0"/>
        <v>-6</v>
      </c>
      <c r="P10" s="334">
        <f>'Meteorological data'!F10</f>
        <v>0</v>
      </c>
      <c r="Q10" s="334">
        <f>'Meteorological data'!G10</f>
        <v>0</v>
      </c>
      <c r="R10" s="335">
        <v>0</v>
      </c>
      <c r="S10" s="336">
        <f>R10*((24-HP!$B$30)/24)</f>
        <v>0</v>
      </c>
      <c r="T10" s="336">
        <f t="shared" si="1"/>
        <v>0</v>
      </c>
      <c r="U10" s="336">
        <f t="shared" si="2"/>
        <v>0</v>
      </c>
      <c r="V10" s="336">
        <f>IF(HP!$N$12=TRUE,(T10+U10),T10)</f>
        <v>0</v>
      </c>
      <c r="W10" s="325">
        <f>HP!$B$19+(((HP!$B$25-HP!$B$28)/2)*((HP!$B$19-O10)/(HP!$B$19-HP!$B$18)))+((AVERAGE(HP!$B$25,HP!$B$28)-HP!$B$19)*((HP!$B$19-O10)/(HP!$B$19-HP!$B$18))^(1/HP!$B$26))</f>
        <v>36.968637810827879</v>
      </c>
      <c r="X10" s="325">
        <f>(($X$18-$X$9)/($O$18-$O$9))*(O10-$O$9)+$X$9</f>
        <v>0</v>
      </c>
      <c r="Y10" s="336" t="e">
        <f t="shared" si="4"/>
        <v>#DIV/0!</v>
      </c>
      <c r="Z10" s="336" t="e">
        <f t="shared" si="5"/>
        <v>#DIV/0!</v>
      </c>
      <c r="AA10" s="336">
        <f t="shared" si="6"/>
        <v>0</v>
      </c>
      <c r="AB10" s="336" t="e">
        <f t="shared" si="7"/>
        <v>#DIV/0!</v>
      </c>
      <c r="AC10" s="337" t="e">
        <f t="shared" si="8"/>
        <v>#DIV/0!</v>
      </c>
      <c r="AD10" s="338"/>
      <c r="AF10" s="322">
        <v>0.45</v>
      </c>
      <c r="AG10" s="322">
        <v>0.03</v>
      </c>
      <c r="AH10" s="322">
        <v>0.14000000000000001</v>
      </c>
      <c r="AI10" s="322">
        <v>0.28999999999999998</v>
      </c>
    </row>
    <row r="11" spans="1:35">
      <c r="A11" s="322" t="s">
        <v>1468</v>
      </c>
      <c r="B11" s="322" t="s">
        <v>1469</v>
      </c>
      <c r="C11" s="325">
        <f>C10/$H$10</f>
        <v>0</v>
      </c>
      <c r="D11" s="325">
        <f>D10/$H$10</f>
        <v>2.054794520547945E-3</v>
      </c>
      <c r="E11" s="325">
        <f>E10/$H$10</f>
        <v>0.14235159817351598</v>
      </c>
      <c r="F11" s="325">
        <f>F10/$H$10</f>
        <v>0.3348173515981735</v>
      </c>
      <c r="G11" s="325">
        <f>G10/$H$10</f>
        <v>0.52077625570776254</v>
      </c>
      <c r="H11" s="325">
        <f t="shared" si="9"/>
        <v>1</v>
      </c>
      <c r="J11" s="329"/>
      <c r="K11" s="338"/>
      <c r="L11" s="329"/>
      <c r="M11" s="338"/>
      <c r="O11" s="333">
        <f t="shared" si="0"/>
        <v>-5</v>
      </c>
      <c r="P11" s="334">
        <f>'Meteorological data'!F11</f>
        <v>0</v>
      </c>
      <c r="Q11" s="334">
        <f>'Meteorological data'!G11</f>
        <v>0</v>
      </c>
      <c r="R11" s="335">
        <v>0</v>
      </c>
      <c r="S11" s="336">
        <f>R11*((24-HP!$B$30)/24)</f>
        <v>0</v>
      </c>
      <c r="T11" s="336">
        <f t="shared" si="1"/>
        <v>0</v>
      </c>
      <c r="U11" s="336">
        <f t="shared" si="2"/>
        <v>0</v>
      </c>
      <c r="V11" s="336">
        <f>IF(HP!$N$12=TRUE,(T11+U11),T11)</f>
        <v>0</v>
      </c>
      <c r="W11" s="325">
        <f>HP!$B$19+(((HP!$B$25-HP!$B$28)/2)*((HP!$B$19-O11)/(HP!$B$19-HP!$B$18)))+((AVERAGE(HP!$B$25,HP!$B$28)-HP!$B$19)*((HP!$B$19-O11)/(HP!$B$19-HP!$B$18))^(1/HP!$B$26))</f>
        <v>36.315458292238027</v>
      </c>
      <c r="X11" s="325">
        <f t="shared" ref="X11:X17" si="10">(($X$18-$X$9)/($O$18-$O$9))*(O11-$O$9)+$X$9</f>
        <v>0</v>
      </c>
      <c r="Y11" s="336" t="e">
        <f t="shared" si="4"/>
        <v>#DIV/0!</v>
      </c>
      <c r="Z11" s="336" t="e">
        <f t="shared" si="5"/>
        <v>#DIV/0!</v>
      </c>
      <c r="AA11" s="336">
        <f t="shared" si="6"/>
        <v>0</v>
      </c>
      <c r="AB11" s="336" t="e">
        <f t="shared" si="7"/>
        <v>#DIV/0!</v>
      </c>
      <c r="AC11" s="337" t="e">
        <f t="shared" si="8"/>
        <v>#DIV/0!</v>
      </c>
      <c r="AD11" s="338"/>
      <c r="AF11" s="322">
        <v>0.5</v>
      </c>
      <c r="AG11" s="322">
        <v>0.01</v>
      </c>
      <c r="AH11" s="322">
        <v>0.09</v>
      </c>
      <c r="AI11" s="322">
        <v>0.24</v>
      </c>
    </row>
    <row r="12" spans="1:35">
      <c r="A12" s="323" t="s">
        <v>1470</v>
      </c>
      <c r="B12" s="322" t="s">
        <v>1471</v>
      </c>
      <c r="C12" s="325">
        <f>IF(HP!$B$5="No",HP!$B$69*C11,((HP!$B$69*HP!$B$8/HP!$B$7))*C11)</f>
        <v>0</v>
      </c>
      <c r="D12" s="325">
        <f>IF(HP!$B$5="No",HP!$B$69*D11,((HP!$B$69*HP!$B$8/HP!$B$7))*D11)</f>
        <v>5.1135831162354881</v>
      </c>
      <c r="E12" s="325">
        <f>IF(HP!$B$5="No",HP!$B$69*E11,((HP!$B$69*HP!$B$8/HP!$B$7))*E11)</f>
        <v>354.25767477475858</v>
      </c>
      <c r="F12" s="325">
        <f>IF(HP!$B$5="No",HP!$B$69*F11,((HP!$B$69*HP!$B$8/HP!$B$7))*F11)</f>
        <v>833.22995999548266</v>
      </c>
      <c r="G12" s="325">
        <f>IF(HP!$B$5="No",HP!$B$69*G11,((HP!$B$69*HP!$B$8/HP!$B$7))*G11)</f>
        <v>1296.0092320147944</v>
      </c>
      <c r="H12" s="325">
        <f t="shared" si="9"/>
        <v>2488.6104499012708</v>
      </c>
      <c r="J12" s="327"/>
      <c r="K12" s="328"/>
      <c r="L12" s="329"/>
      <c r="M12" s="328"/>
      <c r="N12" s="323"/>
      <c r="O12" s="333">
        <f t="shared" si="0"/>
        <v>-4</v>
      </c>
      <c r="P12" s="334">
        <f>'Meteorological data'!F12</f>
        <v>0</v>
      </c>
      <c r="Q12" s="334">
        <f>'Meteorological data'!G12</f>
        <v>0</v>
      </c>
      <c r="R12" s="335">
        <v>0</v>
      </c>
      <c r="S12" s="336">
        <f>R12*((24-HP!$B$30)/24)</f>
        <v>0</v>
      </c>
      <c r="T12" s="336">
        <f t="shared" si="1"/>
        <v>0</v>
      </c>
      <c r="U12" s="336">
        <f t="shared" si="2"/>
        <v>0</v>
      </c>
      <c r="V12" s="336">
        <f>IF(HP!$N$12=TRUE,(T12+U12),T12)</f>
        <v>0</v>
      </c>
      <c r="W12" s="325">
        <f>HP!$B$19+(((HP!$B$25-HP!$B$28)/2)*((HP!$B$19-O12)/(HP!$B$19-HP!$B$18)))+((AVERAGE(HP!$B$25,HP!$B$28)-HP!$B$19)*((HP!$B$19-O12)/(HP!$B$19-HP!$B$18))^(1/HP!$B$26))</f>
        <v>35.659296880744805</v>
      </c>
      <c r="X12" s="325">
        <f t="shared" si="10"/>
        <v>0</v>
      </c>
      <c r="Y12" s="336" t="e">
        <f t="shared" si="4"/>
        <v>#DIV/0!</v>
      </c>
      <c r="Z12" s="336" t="e">
        <f t="shared" si="5"/>
        <v>#DIV/0!</v>
      </c>
      <c r="AA12" s="336">
        <f t="shared" si="6"/>
        <v>0</v>
      </c>
      <c r="AB12" s="336" t="e">
        <f t="shared" si="7"/>
        <v>#DIV/0!</v>
      </c>
      <c r="AC12" s="337" t="e">
        <f t="shared" si="8"/>
        <v>#DIV/0!</v>
      </c>
      <c r="AD12" s="338"/>
      <c r="AF12" s="322">
        <v>0.55000000000000004</v>
      </c>
      <c r="AG12" s="322">
        <v>0</v>
      </c>
      <c r="AH12" s="322">
        <v>0.06</v>
      </c>
      <c r="AI12" s="322">
        <v>0.19</v>
      </c>
    </row>
    <row r="13" spans="1:35">
      <c r="A13" s="322" t="s">
        <v>206</v>
      </c>
      <c r="B13" s="322" t="s">
        <v>206</v>
      </c>
      <c r="J13" s="327"/>
      <c r="K13" s="338"/>
      <c r="L13" s="329"/>
      <c r="M13" s="338"/>
      <c r="O13" s="333">
        <f t="shared" si="0"/>
        <v>-3</v>
      </c>
      <c r="P13" s="334">
        <f>'Meteorological data'!F13</f>
        <v>1.3629108907339993E-3</v>
      </c>
      <c r="Q13" s="334">
        <f>'Meteorological data'!G13</f>
        <v>4.5662100456621003E-4</v>
      </c>
      <c r="R13" s="335">
        <v>4</v>
      </c>
      <c r="S13" s="336">
        <f>R13*((24-HP!$B$30)/24)</f>
        <v>1.3333333333333333</v>
      </c>
      <c r="T13" s="336">
        <f t="shared" si="1"/>
        <v>-9.6893528236303719E-2</v>
      </c>
      <c r="U13" s="336">
        <f t="shared" si="2"/>
        <v>1.1363518036078861</v>
      </c>
      <c r="V13" s="336">
        <f>IF(HP!$N$12=TRUE,(T13+U13),T13)</f>
        <v>-9.6893528236303719E-2</v>
      </c>
      <c r="W13" s="325">
        <f>HP!$B$19+(((HP!$B$25-HP!$B$28)/2)*((HP!$B$19-O13)/(HP!$B$19-HP!$B$18)))+((AVERAGE(HP!$B$25,HP!$B$28)-HP!$B$19)*((HP!$B$19-O13)/(HP!$B$19-HP!$B$18))^(1/HP!$B$26))</f>
        <v>35</v>
      </c>
      <c r="X13" s="325">
        <f t="shared" si="10"/>
        <v>0</v>
      </c>
      <c r="Y13" s="336" t="e">
        <f>V13/X13</f>
        <v>#DIV/0!</v>
      </c>
      <c r="Z13" s="336" t="e">
        <f>IF((Y13-S13)&lt;0,0,(Y13-S13))</f>
        <v>#DIV/0!</v>
      </c>
      <c r="AA13" s="336">
        <f t="shared" si="6"/>
        <v>3.9418748074547225</v>
      </c>
      <c r="AB13" s="336" t="e">
        <f t="shared" si="7"/>
        <v>#DIV/0!</v>
      </c>
      <c r="AC13" s="337" t="e">
        <f t="shared" si="8"/>
        <v>#DIV/0!</v>
      </c>
      <c r="AD13" s="338"/>
      <c r="AF13" s="322">
        <v>0.6</v>
      </c>
      <c r="AG13" s="322">
        <v>0</v>
      </c>
      <c r="AH13" s="322">
        <v>0.03</v>
      </c>
      <c r="AI13" s="322">
        <v>0.15</v>
      </c>
    </row>
    <row r="14" spans="1:35" ht="13">
      <c r="A14" s="324" t="s">
        <v>1472</v>
      </c>
      <c r="C14" s="325">
        <f>HP!B15</f>
        <v>-10</v>
      </c>
      <c r="D14" s="322">
        <v>-7</v>
      </c>
      <c r="E14" s="322">
        <v>2</v>
      </c>
      <c r="F14" s="322">
        <v>7</v>
      </c>
      <c r="G14" s="322">
        <v>12</v>
      </c>
      <c r="J14" s="327"/>
      <c r="K14" s="338"/>
      <c r="L14" s="329"/>
      <c r="M14" s="338"/>
      <c r="O14" s="333">
        <f t="shared" si="0"/>
        <v>-2</v>
      </c>
      <c r="P14" s="334">
        <f>'Meteorological data'!F14</f>
        <v>4.5191255850653657E-3</v>
      </c>
      <c r="Q14" s="334">
        <f>'Meteorological data'!G14</f>
        <v>1.5981735159817352E-3</v>
      </c>
      <c r="R14" s="335">
        <v>14</v>
      </c>
      <c r="S14" s="336">
        <f>R14*((24-HP!$B$30)/24)</f>
        <v>4.6666666666666661</v>
      </c>
      <c r="T14" s="336">
        <f t="shared" si="1"/>
        <v>-0.32127854099405967</v>
      </c>
      <c r="U14" s="336">
        <f>$U$1*Q14</f>
        <v>3.9772313126276022</v>
      </c>
      <c r="V14" s="336">
        <f>IF(HP!$N$12=TRUE,(T14+U14),T14)</f>
        <v>-0.32127854099405967</v>
      </c>
      <c r="W14" s="325">
        <f>HP!$B$19+(((HP!$B$25-HP!$B$28)/2)*((HP!$B$19-O14)/(HP!$B$19-HP!$B$18)))+((AVERAGE(HP!$B$25,HP!$B$28)-HP!$B$19)*((HP!$B$19-O14)/(HP!$B$19-HP!$B$18))^(1/HP!$B$26))</f>
        <v>34.337398700902135</v>
      </c>
      <c r="X14" s="325">
        <f t="shared" si="10"/>
        <v>0</v>
      </c>
      <c r="Y14" s="336" t="e">
        <f>V14/X14</f>
        <v>#DIV/0!</v>
      </c>
      <c r="Z14" s="336" t="e">
        <f>IF((Y14-S14)&lt;0,0,(Y14-S14))</f>
        <v>#DIV/0!</v>
      </c>
      <c r="AA14" s="336">
        <f t="shared" si="6"/>
        <v>13.070426993139341</v>
      </c>
      <c r="AB14" s="336" t="e">
        <f t="shared" si="7"/>
        <v>#DIV/0!</v>
      </c>
      <c r="AC14" s="337" t="e">
        <f t="shared" si="8"/>
        <v>#DIV/0!</v>
      </c>
      <c r="AD14" s="338"/>
      <c r="AF14" s="322">
        <v>0.65</v>
      </c>
      <c r="AG14" s="322">
        <v>0</v>
      </c>
      <c r="AH14" s="322">
        <v>0.02</v>
      </c>
      <c r="AI14" s="322">
        <v>0.11</v>
      </c>
    </row>
    <row r="15" spans="1:35" ht="15.5">
      <c r="A15" s="323" t="s">
        <v>1473</v>
      </c>
      <c r="B15" s="323" t="s">
        <v>1474</v>
      </c>
      <c r="C15" s="322">
        <f>IF(HP!C39="Yes",IF(HP!$B$13="Variable Outlet",35,35),0)</f>
        <v>0</v>
      </c>
      <c r="D15" s="322">
        <f>IF(HP!C39="Yes",IF(HP!$B$13="Variable Outlet",34,35),0)</f>
        <v>0</v>
      </c>
      <c r="E15" s="322">
        <f>IF(HP!C39="Yes",IF(HP!$B$13="Variable Outlet",30,35),0)</f>
        <v>0</v>
      </c>
      <c r="F15" s="322">
        <f>IF(HP!C39="Yes",IF(HP!$B$13="Variable Outlet",27,35),0)</f>
        <v>0</v>
      </c>
      <c r="G15" s="322">
        <f>IF(HP!C39="Yes",IF(HP!$B$13="Variable Outlet",24,35),0)</f>
        <v>0</v>
      </c>
      <c r="I15" s="236"/>
      <c r="J15" s="327"/>
      <c r="K15" s="328"/>
      <c r="L15" s="329"/>
      <c r="M15" s="328"/>
      <c r="O15" s="333">
        <f t="shared" si="0"/>
        <v>-1</v>
      </c>
      <c r="P15" s="334">
        <f>'Meteorological data'!F15</f>
        <v>1.3413912450908309E-2</v>
      </c>
      <c r="Q15" s="334">
        <f>'Meteorological data'!G15</f>
        <v>5.0228310502283104E-3</v>
      </c>
      <c r="R15" s="335">
        <v>44</v>
      </c>
      <c r="S15" s="336">
        <f>R15*((24-HP!$B$30)/24)</f>
        <v>14.666666666666666</v>
      </c>
      <c r="T15" s="336">
        <f t="shared" si="1"/>
        <v>-0.95363630422046297</v>
      </c>
      <c r="U15" s="336">
        <f t="shared" si="2"/>
        <v>12.499869839686749</v>
      </c>
      <c r="V15" s="336">
        <f>IF(HP!$N$12=TRUE,(T15+U15),T15)</f>
        <v>-0.95363630422046297</v>
      </c>
      <c r="W15" s="325">
        <f>HP!$B$19+(((HP!$B$25-HP!$B$28)/2)*((HP!$B$19-O15)/(HP!$B$19-HP!$B$18)))+((AVERAGE(HP!$B$25,HP!$B$28)-HP!$B$19)*((HP!$B$19-O15)/(HP!$B$19-HP!$B$18))^(1/HP!$B$26))</f>
        <v>33.671306302817754</v>
      </c>
      <c r="X15" s="325">
        <f t="shared" si="10"/>
        <v>0</v>
      </c>
      <c r="Y15" s="336" t="e">
        <f t="shared" si="4"/>
        <v>#DIV/0!</v>
      </c>
      <c r="Z15" s="336" t="e">
        <f>IF((Y15-S15)&lt;0,0,(Y15-S15))</f>
        <v>#DIV/0!</v>
      </c>
      <c r="AA15" s="336">
        <f t="shared" si="6"/>
        <v>38.796346789159635</v>
      </c>
      <c r="AB15" s="336" t="e">
        <f t="shared" si="7"/>
        <v>#DIV/0!</v>
      </c>
      <c r="AC15" s="337" t="e">
        <f t="shared" si="8"/>
        <v>#DIV/0!</v>
      </c>
      <c r="AD15" s="338"/>
      <c r="AF15" s="322">
        <v>0.7</v>
      </c>
      <c r="AG15" s="322">
        <v>0</v>
      </c>
      <c r="AH15" s="322">
        <v>0.01</v>
      </c>
      <c r="AI15" s="322">
        <v>0.09</v>
      </c>
    </row>
    <row r="16" spans="1:35" ht="15.5">
      <c r="A16" s="323" t="s">
        <v>1475</v>
      </c>
      <c r="B16" s="323" t="s">
        <v>1474</v>
      </c>
      <c r="C16" s="322">
        <f>IF(HP!C40="Yes",IF(HP!$B$13="Variable Outlet",45,45),0)</f>
        <v>0</v>
      </c>
      <c r="D16" s="322">
        <f>IF(HP!C40="Yes",IF(HP!$B$13="Variable Outlet",43,45),0)</f>
        <v>0</v>
      </c>
      <c r="E16" s="322">
        <f>IF(HP!C40="Yes",IF(HP!$B$13="Variable Outlet",37,45),0)</f>
        <v>0</v>
      </c>
      <c r="F16" s="322">
        <f>IF(HP!C40="Yes",IF(HP!$B$13="Variable Outlet",33,45),0)</f>
        <v>0</v>
      </c>
      <c r="G16" s="322">
        <f>IF(HP!C40="Yes",IF(HP!$B$13="Variable Outlet",28,45),0)</f>
        <v>0</v>
      </c>
      <c r="I16" s="236"/>
      <c r="J16" s="327"/>
      <c r="K16" s="338"/>
      <c r="L16" s="329"/>
      <c r="M16" s="338"/>
      <c r="O16" s="333">
        <f t="shared" si="0"/>
        <v>0</v>
      </c>
      <c r="P16" s="334">
        <f>'Meteorological data'!F16</f>
        <v>3.2136004160464825E-2</v>
      </c>
      <c r="Q16" s="334">
        <f>'Meteorological data'!G16</f>
        <v>1.2785388127853882E-2</v>
      </c>
      <c r="R16" s="335">
        <v>112</v>
      </c>
      <c r="S16" s="336">
        <f>R16*((24-HP!$B$30)/24)</f>
        <v>37.333333333333329</v>
      </c>
      <c r="T16" s="336">
        <f t="shared" si="1"/>
        <v>-2.2846474026244246</v>
      </c>
      <c r="U16" s="336">
        <f>$U$1*Q16</f>
        <v>31.817850501020818</v>
      </c>
      <c r="V16" s="336">
        <f>IF(HP!$N$12=TRUE,(T16+U16),T16)</f>
        <v>-2.2846474026244246</v>
      </c>
      <c r="W16" s="325">
        <f>HP!$B$19+(((HP!$B$25-HP!$B$28)/2)*((HP!$B$19-O16)/(HP!$B$19-HP!$B$18)))+((AVERAGE(HP!$B$25,HP!$B$28)-HP!$B$19)*((HP!$B$19-O16)/(HP!$B$19-HP!$B$18))^(1/HP!$B$26))</f>
        <v>33.001515534132984</v>
      </c>
      <c r="X16" s="325">
        <f t="shared" si="10"/>
        <v>0</v>
      </c>
      <c r="Y16" s="336" t="e">
        <f>V16/X16</f>
        <v>#DIV/0!</v>
      </c>
      <c r="Z16" s="336" t="e">
        <f>IF((Y16-S16)&lt;0,0,(Y16-S16))</f>
        <v>#DIV/0!</v>
      </c>
      <c r="AA16" s="336">
        <f t="shared" si="6"/>
        <v>92.945258617879773</v>
      </c>
      <c r="AB16" s="336" t="e">
        <f t="shared" si="7"/>
        <v>#DIV/0!</v>
      </c>
      <c r="AC16" s="337" t="e">
        <f t="shared" si="8"/>
        <v>#DIV/0!</v>
      </c>
      <c r="AD16" s="338"/>
      <c r="AF16" s="322">
        <v>0.75</v>
      </c>
      <c r="AG16" s="322">
        <v>0</v>
      </c>
      <c r="AH16" s="322">
        <v>0</v>
      </c>
      <c r="AI16" s="322">
        <v>0.05</v>
      </c>
    </row>
    <row r="17" spans="1:35" ht="27.75" customHeight="1">
      <c r="A17" s="323" t="s">
        <v>1476</v>
      </c>
      <c r="B17" s="323" t="s">
        <v>1474</v>
      </c>
      <c r="C17" s="322">
        <f>IF(HP!$B$13="Variable Outlet",55,55)</f>
        <v>55</v>
      </c>
      <c r="D17" s="322">
        <f>IF(HP!$B$13="Variable Outlet",52,55)</f>
        <v>52</v>
      </c>
      <c r="E17" s="322">
        <f>IF(HP!$B$13="Variable Outlet",42,55)</f>
        <v>42</v>
      </c>
      <c r="F17" s="322">
        <f>IF(HP!$B$13="Variable Outlet",36,55)</f>
        <v>36</v>
      </c>
      <c r="G17" s="322">
        <f>IF(HP!$B$13="Variable Outlet",30,55)</f>
        <v>30</v>
      </c>
      <c r="I17" s="236"/>
      <c r="J17" s="327"/>
      <c r="K17" s="338"/>
      <c r="L17" s="329"/>
      <c r="M17" s="338"/>
      <c r="O17" s="333">
        <f t="shared" si="0"/>
        <v>1</v>
      </c>
      <c r="P17" s="334">
        <f>'Meteorological data'!F17</f>
        <v>3.927335329878235E-2</v>
      </c>
      <c r="Q17" s="334">
        <f>'Meteorological data'!G17</f>
        <v>1.6666666666666666E-2</v>
      </c>
      <c r="R17" s="335">
        <v>146</v>
      </c>
      <c r="S17" s="336">
        <f>R17*((24-HP!$B$30)/24)</f>
        <v>48.666666666666664</v>
      </c>
      <c r="T17" s="336">
        <f t="shared" si="1"/>
        <v>-2.7920635110198049</v>
      </c>
      <c r="U17" s="336">
        <f t="shared" si="2"/>
        <v>41.476840831687845</v>
      </c>
      <c r="V17" s="336">
        <f>IF(HP!$N$12=TRUE,(T17+U17),T17)</f>
        <v>-2.7920635110198049</v>
      </c>
      <c r="W17" s="325">
        <f>HP!$B$19+(((HP!$B$25-HP!$B$28)/2)*((HP!$B$19-O17)/(HP!$B$19-HP!$B$18)))+((AVERAGE(HP!$B$25,HP!$B$28)-HP!$B$19)*((HP!$B$19-O17)/(HP!$B$19-HP!$B$18))^(1/HP!$B$26))</f>
        <v>32.327795033224689</v>
      </c>
      <c r="X17" s="325">
        <f t="shared" si="10"/>
        <v>0</v>
      </c>
      <c r="Y17" s="336" t="e">
        <f t="shared" ref="Y17:Y31" si="11">V17/X17</f>
        <v>#DIV/0!</v>
      </c>
      <c r="Z17" s="336" t="e">
        <f>IF((Y17-S17)&lt;0,0,(Y17-S17))</f>
        <v>#DIV/0!</v>
      </c>
      <c r="AA17" s="336">
        <f t="shared" si="6"/>
        <v>113.58823458323477</v>
      </c>
      <c r="AB17" s="336" t="e">
        <f t="shared" si="7"/>
        <v>#DIV/0!</v>
      </c>
      <c r="AC17" s="337" t="e">
        <f t="shared" si="8"/>
        <v>#DIV/0!</v>
      </c>
      <c r="AD17" s="338"/>
      <c r="AF17" s="322">
        <v>0.8</v>
      </c>
      <c r="AG17" s="322">
        <v>0</v>
      </c>
      <c r="AH17" s="322">
        <v>0</v>
      </c>
      <c r="AI17" s="322">
        <v>0.05</v>
      </c>
    </row>
    <row r="18" spans="1:35" ht="15.5">
      <c r="A18" s="323" t="s">
        <v>1477</v>
      </c>
      <c r="B18" s="323" t="s">
        <v>1474</v>
      </c>
      <c r="C18" s="322">
        <f>IF(HP!C41="Yes",65,0)</f>
        <v>0</v>
      </c>
      <c r="D18" s="322">
        <f>IF(HP!C41="Yes",IF(HP!$B$13="Variable Outlet",61,65),0)</f>
        <v>0</v>
      </c>
      <c r="E18" s="322">
        <f>IF(HP!C41="Yes",IF(HP!$B$13="Variable Outlet",49,65),0)</f>
        <v>0</v>
      </c>
      <c r="F18" s="322">
        <f>IF(HP!C41="Yes",IF(HP!$B$13="Variable Outlet",41,65),0)</f>
        <v>0</v>
      </c>
      <c r="G18" s="322">
        <f>IF(HP!C41="Yes",IF(HP!$B$13="Variable Outlet",32,65),0)</f>
        <v>0</v>
      </c>
      <c r="I18" s="237"/>
      <c r="J18" s="327"/>
      <c r="K18" s="328"/>
      <c r="L18" s="329"/>
      <c r="M18" s="328"/>
      <c r="O18" s="339">
        <f t="shared" si="0"/>
        <v>2</v>
      </c>
      <c r="P18" s="340">
        <f>'Meteorological data'!F18</f>
        <v>5.5735882215806179E-2</v>
      </c>
      <c r="Q18" s="340">
        <f>'Meteorological data'!G18</f>
        <v>2.5342465753424658E-2</v>
      </c>
      <c r="R18" s="341">
        <v>222</v>
      </c>
      <c r="S18" s="342">
        <f>R18*((24-HP!$B$30)/24)</f>
        <v>74</v>
      </c>
      <c r="T18" s="342">
        <f t="shared" si="1"/>
        <v>-3.9624353389267362</v>
      </c>
      <c r="U18" s="342">
        <f t="shared" si="2"/>
        <v>63.067525100237688</v>
      </c>
      <c r="V18" s="336">
        <f>IF(HP!$N$12=TRUE,(T18+U18),T18)</f>
        <v>-3.9624353389267362</v>
      </c>
      <c r="W18" s="343">
        <f>HP!$B$19+(((HP!$B$25-HP!$B$28)/2)*((HP!$B$19-O18)/(HP!$B$19-HP!$B$18)))+((AVERAGE(HP!$B$25,HP!$B$28)-HP!$B$19)*((HP!$B$19-O18)/(HP!$B$19-HP!$B$18))^(1/HP!$B$26))</f>
        <v>31.649885022306439</v>
      </c>
      <c r="X18" s="343">
        <f>E41</f>
        <v>0</v>
      </c>
      <c r="Y18" s="342" t="e">
        <f>V18/X18</f>
        <v>#DIV/0!</v>
      </c>
      <c r="Z18" s="342" t="e">
        <f t="shared" si="5"/>
        <v>#DIV/0!</v>
      </c>
      <c r="AA18" s="342">
        <f t="shared" si="6"/>
        <v>161.20193291538521</v>
      </c>
      <c r="AB18" s="336" t="e">
        <f t="shared" si="7"/>
        <v>#DIV/0!</v>
      </c>
      <c r="AC18" s="337" t="e">
        <f t="shared" si="8"/>
        <v>#DIV/0!</v>
      </c>
      <c r="AD18" s="338"/>
      <c r="AF18" s="322">
        <v>0.85</v>
      </c>
      <c r="AG18" s="322">
        <v>0</v>
      </c>
      <c r="AH18" s="322">
        <v>0</v>
      </c>
      <c r="AI18" s="322">
        <v>0.03</v>
      </c>
    </row>
    <row r="19" spans="1:35" ht="15.5">
      <c r="A19" s="323" t="s">
        <v>86</v>
      </c>
      <c r="B19" s="323" t="s">
        <v>1474</v>
      </c>
      <c r="C19" s="325">
        <f>IF(HP!$C$39="Yes",HP!G47,0)</f>
        <v>0</v>
      </c>
      <c r="D19" s="325">
        <f>IF(HP!$C$39="Yes",HP!C47,0)</f>
        <v>0</v>
      </c>
      <c r="E19" s="325">
        <f>IF(HP!$C$39="Yes",HP!D47,0)</f>
        <v>0</v>
      </c>
      <c r="F19" s="325">
        <f>IF(HP!$C$39="Yes",HP!E47,0)</f>
        <v>0</v>
      </c>
      <c r="G19" s="325">
        <f>IF(HP!$C$39="Yes",HP!F47,0)</f>
        <v>0</v>
      </c>
      <c r="I19" s="236" t="s">
        <v>1478</v>
      </c>
      <c r="J19" s="327"/>
      <c r="K19" s="328"/>
      <c r="L19" s="329"/>
      <c r="M19" s="328"/>
      <c r="O19" s="333">
        <f t="shared" si="0"/>
        <v>3</v>
      </c>
      <c r="P19" s="334">
        <f>'Meteorological data'!F19</f>
        <v>7.5300826713053465E-2</v>
      </c>
      <c r="Q19" s="334">
        <f>'Meteorological data'!G19</f>
        <v>3.6872146118721458E-2</v>
      </c>
      <c r="R19" s="335">
        <v>323</v>
      </c>
      <c r="S19" s="336">
        <f>R19*((24-HP!$B$30)/24)</f>
        <v>107.66666666666666</v>
      </c>
      <c r="T19" s="336">
        <f t="shared" si="1"/>
        <v>-5.3533674350557812</v>
      </c>
      <c r="U19" s="336">
        <f t="shared" si="2"/>
        <v>91.760408141336811</v>
      </c>
      <c r="V19" s="336">
        <f>IF(HP!$N$12=TRUE,(T19+U19),T19)</f>
        <v>-5.3533674350557812</v>
      </c>
      <c r="W19" s="325">
        <f>HP!$B$19+(((HP!$B$25-HP!$B$28)/2)*((HP!$B$19-O19)/(HP!$B$19-HP!$B$18)))+((AVERAGE(HP!$B$25,HP!$B$28)-HP!$B$19)*((HP!$B$19-O19)/(HP!$B$19-HP!$B$18))^(1/HP!$B$26))</f>
        <v>30.967491896978579</v>
      </c>
      <c r="X19" s="325">
        <f>(($X$23-$X$18)/($O$23-$O$18))*(O19-$O$18)+$X$18</f>
        <v>0</v>
      </c>
      <c r="Y19" s="336" t="e">
        <f>V19/X19</f>
        <v>#DIV/0!</v>
      </c>
      <c r="Z19" s="336" t="e">
        <f>IF((Y19-S19)&lt;0,0,(Y19-S19))</f>
        <v>#DIV/0!</v>
      </c>
      <c r="AA19" s="336">
        <f t="shared" si="6"/>
        <v>217.78858311187341</v>
      </c>
      <c r="AB19" s="336" t="e">
        <f t="shared" si="7"/>
        <v>#DIV/0!</v>
      </c>
      <c r="AC19" s="337" t="e">
        <f t="shared" si="8"/>
        <v>#DIV/0!</v>
      </c>
      <c r="AD19" s="338"/>
      <c r="AF19" s="322">
        <v>0.9</v>
      </c>
      <c r="AG19" s="322">
        <v>0</v>
      </c>
      <c r="AH19" s="322">
        <v>0</v>
      </c>
      <c r="AI19" s="322">
        <v>0.02</v>
      </c>
    </row>
    <row r="20" spans="1:35" ht="15.5">
      <c r="A20" s="323" t="s">
        <v>89</v>
      </c>
      <c r="B20" s="323" t="s">
        <v>1474</v>
      </c>
      <c r="C20" s="325">
        <f>IF(HP!C40="Yes",HP!G51,0)</f>
        <v>0</v>
      </c>
      <c r="D20" s="325">
        <f>IF(HP!C40="Yes",HP!C51,0)</f>
        <v>0</v>
      </c>
      <c r="E20" s="325">
        <f>IF(HP!C40="Yes",HP!D51,0)</f>
        <v>0</v>
      </c>
      <c r="F20" s="325">
        <f>IF(HP!C40="Yes",HP!E51,0)</f>
        <v>0</v>
      </c>
      <c r="G20" s="325">
        <f>IF(HP!C40="Yes",HP!F51,0)</f>
        <v>0</v>
      </c>
      <c r="I20" s="236" t="s">
        <v>1479</v>
      </c>
      <c r="J20" s="327"/>
      <c r="K20" s="338"/>
      <c r="L20" s="329"/>
      <c r="M20" s="338"/>
      <c r="O20" s="333">
        <f t="shared" si="0"/>
        <v>4</v>
      </c>
      <c r="P20" s="334">
        <f>'Meteorological data'!F20</f>
        <v>8.6078582572673631E-2</v>
      </c>
      <c r="Q20" s="334">
        <f>'Meteorological data'!G20</f>
        <v>4.5662100456621002E-2</v>
      </c>
      <c r="R20" s="335">
        <v>400</v>
      </c>
      <c r="S20" s="336">
        <f>R20*((24-HP!$B$30)/24)</f>
        <v>133.33333333333331</v>
      </c>
      <c r="T20" s="336">
        <f t="shared" si="1"/>
        <v>-6.1195912570297084</v>
      </c>
      <c r="U20" s="336">
        <f t="shared" si="2"/>
        <v>113.63518036078861</v>
      </c>
      <c r="V20" s="336">
        <f>IF(HP!$N$12=TRUE,(T20+U20),T20)</f>
        <v>-6.1195912570297084</v>
      </c>
      <c r="W20" s="325">
        <f>HP!$B$19+(((HP!$B$25-HP!$B$28)/2)*((HP!$B$19-O20)/(HP!$B$19-HP!$B$18)))+((AVERAGE(HP!$B$25,HP!$B$28)-HP!$B$19)*((HP!$B$19-O20)/(HP!$B$19-HP!$B$18))^(1/HP!$B$26))</f>
        <v>30.280281372701616</v>
      </c>
      <c r="X20" s="325">
        <f t="shared" ref="X20:X22" si="12">(($X$23-$X$18)/($O$23-$O$18))*(O20-$O$18)+$X$18</f>
        <v>0</v>
      </c>
      <c r="Y20" s="336" t="e">
        <f t="shared" si="11"/>
        <v>#DIV/0!</v>
      </c>
      <c r="Z20" s="336" t="e">
        <f t="shared" si="5"/>
        <v>#DIV/0!</v>
      </c>
      <c r="AA20" s="336">
        <f t="shared" si="6"/>
        <v>248.96051415503507</v>
      </c>
      <c r="AB20" s="336" t="e">
        <f t="shared" si="7"/>
        <v>#DIV/0!</v>
      </c>
      <c r="AC20" s="337" t="e">
        <f t="shared" si="8"/>
        <v>#DIV/0!</v>
      </c>
      <c r="AD20" s="338"/>
      <c r="AF20" s="322">
        <v>0.95</v>
      </c>
      <c r="AG20" s="322">
        <v>0</v>
      </c>
      <c r="AH20" s="322">
        <v>0</v>
      </c>
      <c r="AI20" s="322">
        <v>0.01</v>
      </c>
    </row>
    <row r="21" spans="1:35" ht="15.5">
      <c r="A21" s="323" t="s">
        <v>92</v>
      </c>
      <c r="B21" s="323" t="s">
        <v>1474</v>
      </c>
      <c r="C21" s="325">
        <f>HP!G55</f>
        <v>0</v>
      </c>
      <c r="D21" s="325">
        <f>HP!C55</f>
        <v>0</v>
      </c>
      <c r="E21" s="325">
        <f>HP!D55</f>
        <v>0</v>
      </c>
      <c r="F21" s="325">
        <f>HP!E55</f>
        <v>0</v>
      </c>
      <c r="G21" s="325">
        <f>HP!F55</f>
        <v>0</v>
      </c>
      <c r="I21" s="236" t="s">
        <v>109</v>
      </c>
      <c r="J21" s="327"/>
      <c r="K21" s="338"/>
      <c r="L21" s="329"/>
      <c r="M21" s="338"/>
      <c r="O21" s="333">
        <f t="shared" si="0"/>
        <v>5</v>
      </c>
      <c r="P21" s="334">
        <f>'Meteorological data'!F21</f>
        <v>8.7979484604486846E-2</v>
      </c>
      <c r="Q21" s="334">
        <f>'Meteorological data'!G21</f>
        <v>5.0913242009132421E-2</v>
      </c>
      <c r="R21" s="335">
        <v>446</v>
      </c>
      <c r="S21" s="336">
        <f>R21*((24-HP!$B$30)/24)</f>
        <v>148.66666666666666</v>
      </c>
      <c r="T21" s="336">
        <f t="shared" si="1"/>
        <v>-6.254732230622448</v>
      </c>
      <c r="U21" s="336">
        <f t="shared" si="2"/>
        <v>126.70322610227932</v>
      </c>
      <c r="V21" s="336">
        <f>IF(HP!$N$12=TRUE,(T21+U21),T21)</f>
        <v>-6.254732230622448</v>
      </c>
      <c r="W21" s="325">
        <f>HP!$B$19+(((HP!$B$25-HP!$B$28)/2)*((HP!$B$19-O21)/(HP!$B$19-HP!$B$18)))+((AVERAGE(HP!$B$25,HP!$B$28)-HP!$B$19)*((HP!$B$19-O21)/(HP!$B$19-HP!$B$18))^(1/HP!$B$26))</f>
        <v>29.587869677915279</v>
      </c>
      <c r="X21" s="325">
        <f t="shared" si="12"/>
        <v>0</v>
      </c>
      <c r="Y21" s="336" t="e">
        <f t="shared" si="11"/>
        <v>#DIV/0!</v>
      </c>
      <c r="Z21" s="336" t="e">
        <f t="shared" si="5"/>
        <v>#DIV/0!</v>
      </c>
      <c r="AA21" s="336">
        <f t="shared" si="6"/>
        <v>254.45839217595878</v>
      </c>
      <c r="AB21" s="336" t="e">
        <f t="shared" si="7"/>
        <v>#DIV/0!</v>
      </c>
      <c r="AC21" s="337" t="e">
        <f t="shared" si="8"/>
        <v>#DIV/0!</v>
      </c>
      <c r="AD21" s="338"/>
      <c r="AF21" s="322">
        <v>1</v>
      </c>
      <c r="AG21" s="322">
        <v>0</v>
      </c>
      <c r="AH21" s="322">
        <v>0</v>
      </c>
      <c r="AI21" s="322">
        <v>0.01</v>
      </c>
    </row>
    <row r="22" spans="1:35" ht="15.5">
      <c r="A22" s="323" t="s">
        <v>95</v>
      </c>
      <c r="B22" s="323" t="s">
        <v>1474</v>
      </c>
      <c r="C22" s="325">
        <f>IF(HP!C41="Yes",HP!G59,0)</f>
        <v>0</v>
      </c>
      <c r="D22" s="325">
        <f>IF(HP!$C$41="Yes",HP!C59,0)</f>
        <v>0</v>
      </c>
      <c r="E22" s="325">
        <f>IF(HP!$C$41="Yes",HP!D59,0)</f>
        <v>0</v>
      </c>
      <c r="F22" s="325">
        <f>IF(HP!$C$41="Yes",HP!E59,0)</f>
        <v>0</v>
      </c>
      <c r="G22" s="325">
        <f>IF(HP!$C$41="Yes",HP!F59,0)</f>
        <v>0</v>
      </c>
      <c r="I22" s="236" t="s">
        <v>112</v>
      </c>
      <c r="J22" s="327"/>
      <c r="K22" s="338"/>
      <c r="L22" s="329"/>
      <c r="M22" s="338"/>
      <c r="O22" s="333">
        <f t="shared" si="0"/>
        <v>6</v>
      </c>
      <c r="P22" s="334">
        <f>'Meteorological data'!F22</f>
        <v>9.7735057296056527E-2</v>
      </c>
      <c r="Q22" s="334">
        <f>'Meteorological data'!G22</f>
        <v>6.2214611872146115E-2</v>
      </c>
      <c r="R22" s="335">
        <v>545</v>
      </c>
      <c r="S22" s="336">
        <f>R22*((24-HP!$B$30)/24)</f>
        <v>181.66666666666666</v>
      </c>
      <c r="T22" s="336">
        <f t="shared" si="1"/>
        <v>-6.9482859064191489</v>
      </c>
      <c r="U22" s="336">
        <f t="shared" si="2"/>
        <v>154.8279332415745</v>
      </c>
      <c r="V22" s="336">
        <f>IF(HP!$N$12=TRUE,(T22+U22),T22)</f>
        <v>-6.9482859064191489</v>
      </c>
      <c r="W22" s="325">
        <f>HP!$B$19+(((HP!$B$25-HP!$B$28)/2)*((HP!$B$19-O22)/(HP!$B$19-HP!$B$18)))+((AVERAGE(HP!$B$25,HP!$B$28)-HP!$B$19)*((HP!$B$19-O22)/(HP!$B$19-HP!$B$18))^(1/HP!$B$26))</f>
        <v>28.889812052154728</v>
      </c>
      <c r="X22" s="325">
        <f t="shared" si="12"/>
        <v>0</v>
      </c>
      <c r="Y22" s="336" t="e">
        <f t="shared" si="11"/>
        <v>#DIV/0!</v>
      </c>
      <c r="Z22" s="336" t="e">
        <f t="shared" si="5"/>
        <v>#DIV/0!</v>
      </c>
      <c r="AA22" s="336">
        <f t="shared" si="6"/>
        <v>282.6739171135294</v>
      </c>
      <c r="AB22" s="336" t="e">
        <f t="shared" si="7"/>
        <v>#DIV/0!</v>
      </c>
      <c r="AC22" s="337" t="e">
        <f t="shared" si="8"/>
        <v>#DIV/0!</v>
      </c>
      <c r="AD22" s="338"/>
      <c r="AF22" s="322">
        <v>1.05</v>
      </c>
      <c r="AG22" s="322">
        <v>0</v>
      </c>
      <c r="AH22" s="322">
        <v>0</v>
      </c>
      <c r="AI22" s="322">
        <v>0</v>
      </c>
    </row>
    <row r="23" spans="1:35" ht="15.5">
      <c r="A23" s="323" t="s">
        <v>98</v>
      </c>
      <c r="B23" s="323" t="s">
        <v>1474</v>
      </c>
      <c r="C23" s="325">
        <f>IF(HP!C39="Yes",HP!G46,0)</f>
        <v>0</v>
      </c>
      <c r="D23" s="325">
        <f>IF(HP!$C$39="Yes",HP!C46,0)</f>
        <v>0</v>
      </c>
      <c r="E23" s="325">
        <f>IF(HP!$C$39="Yes",HP!D46,0)</f>
        <v>0</v>
      </c>
      <c r="F23" s="325">
        <f>IF(HP!$C$39="Yes",HP!E46,0)</f>
        <v>0</v>
      </c>
      <c r="G23" s="325">
        <f>IF(HP!$C$39="Yes",HP!F46,0)</f>
        <v>0</v>
      </c>
      <c r="I23" s="236" t="s">
        <v>1480</v>
      </c>
      <c r="J23" s="327"/>
      <c r="K23" s="328"/>
      <c r="L23" s="329"/>
      <c r="M23" s="328"/>
      <c r="O23" s="339">
        <f t="shared" si="0"/>
        <v>7</v>
      </c>
      <c r="P23" s="340">
        <f>'Meteorological data'!F23</f>
        <v>9.7322597421229132E-2</v>
      </c>
      <c r="Q23" s="340">
        <f>'Meteorological data'!G23</f>
        <v>6.8835616438356159E-2</v>
      </c>
      <c r="R23" s="341">
        <v>603</v>
      </c>
      <c r="S23" s="342">
        <f>R23*((24-HP!$B$30)/24)</f>
        <v>201</v>
      </c>
      <c r="T23" s="342">
        <f t="shared" si="1"/>
        <v>-6.9189628649792141</v>
      </c>
      <c r="U23" s="342">
        <f t="shared" si="2"/>
        <v>171.30503439388883</v>
      </c>
      <c r="V23" s="336">
        <f>IF(HP!$N$12=TRUE,(T23+U23),T23)</f>
        <v>-6.9189628649792141</v>
      </c>
      <c r="W23" s="343">
        <f>HP!$B$19+(((HP!$B$25-HP!$B$28)/2)*((HP!$B$19-O23)/(HP!$B$19-HP!$B$18)))+((AVERAGE(HP!$B$25,HP!$B$28)-HP!$B$19)*((HP!$B$19-O23)/(HP!$B$19-HP!$B$18))^(1/HP!$B$26))</f>
        <v>28.185587444421738</v>
      </c>
      <c r="X23" s="343">
        <f>F41</f>
        <v>0</v>
      </c>
      <c r="Y23" s="342" t="e">
        <f t="shared" si="11"/>
        <v>#DIV/0!</v>
      </c>
      <c r="Z23" s="342" t="e">
        <f t="shared" si="5"/>
        <v>#DIV/0!</v>
      </c>
      <c r="AA23" s="342">
        <f t="shared" si="6"/>
        <v>281.48098131653654</v>
      </c>
      <c r="AB23" s="342" t="e">
        <f t="shared" si="7"/>
        <v>#DIV/0!</v>
      </c>
      <c r="AC23" s="344" t="e">
        <f t="shared" si="8"/>
        <v>#DIV/0!</v>
      </c>
      <c r="AD23" s="338"/>
    </row>
    <row r="24" spans="1:35" ht="15.5">
      <c r="A24" s="323" t="s">
        <v>101</v>
      </c>
      <c r="B24" s="323" t="s">
        <v>1474</v>
      </c>
      <c r="C24" s="325">
        <f>IF(HP!C40="Yes",HP!G50,0)</f>
        <v>0</v>
      </c>
      <c r="D24" s="325">
        <f>IF(HP!C40="Yes",HP!C50,0)</f>
        <v>0</v>
      </c>
      <c r="E24" s="325">
        <f>IF(HP!C40="Yes",HP!D50,0)</f>
        <v>0</v>
      </c>
      <c r="F24" s="325">
        <f>IF(HP!C40="Yes",HP!E50,0)</f>
        <v>0</v>
      </c>
      <c r="G24" s="325">
        <f>IF(HP!C40="Yes",HP!F50,0)</f>
        <v>0</v>
      </c>
      <c r="I24" s="236" t="s">
        <v>1481</v>
      </c>
      <c r="J24" s="327"/>
      <c r="K24" s="328"/>
      <c r="L24" s="329"/>
      <c r="M24" s="328"/>
      <c r="O24" s="333">
        <f t="shared" si="0"/>
        <v>8</v>
      </c>
      <c r="P24" s="334">
        <f>'Meteorological data'!F24</f>
        <v>9.4399512221365417E-2</v>
      </c>
      <c r="Q24" s="334">
        <f>'Meteorological data'!G24</f>
        <v>7.5114155251141554E-2</v>
      </c>
      <c r="R24" s="335">
        <v>658</v>
      </c>
      <c r="S24" s="336">
        <f>R24*((24-HP!$B$30)/24)</f>
        <v>219.33333333333331</v>
      </c>
      <c r="T24" s="336">
        <f t="shared" si="1"/>
        <v>-6.7111517452092464</v>
      </c>
      <c r="U24" s="336">
        <f t="shared" si="2"/>
        <v>186.92987169349729</v>
      </c>
      <c r="V24" s="336">
        <f>IF(HP!$N$12=TRUE,(T24+U24),T24)</f>
        <v>-6.7111517452092464</v>
      </c>
      <c r="W24" s="325">
        <f>HP!$B$19+(((HP!$B$25-HP!$B$28)/2)*((HP!$B$19-O24)/(HP!$B$19-HP!$B$18)))+((AVERAGE(HP!$B$25,HP!$B$28)-HP!$B$19)*((HP!$B$19-O24)/(HP!$B$19-HP!$B$18))^(1/HP!$B$26))</f>
        <v>27.47457771931926</v>
      </c>
      <c r="X24" s="325">
        <f>(($X$28-$X$23)/($O$28-$O$23))*(O24-$O$23)+$X$23</f>
        <v>0</v>
      </c>
      <c r="Y24" s="336" t="e">
        <f t="shared" si="11"/>
        <v>#DIV/0!</v>
      </c>
      <c r="Z24" s="336" t="e">
        <f t="shared" si="5"/>
        <v>#DIV/0!</v>
      </c>
      <c r="AA24" s="336">
        <f t="shared" si="6"/>
        <v>273.02669719002182</v>
      </c>
      <c r="AB24" s="336" t="e">
        <f t="shared" si="7"/>
        <v>#DIV/0!</v>
      </c>
      <c r="AC24" s="337" t="e">
        <f t="shared" si="8"/>
        <v>#DIV/0!</v>
      </c>
      <c r="AD24" s="338"/>
      <c r="AG24" s="334">
        <f>IF($J$47&lt;0.5,3.9048*$J$47^2-4.018*$J$47+1.045,0)</f>
        <v>1.0449999999999999</v>
      </c>
      <c r="AH24" s="334">
        <f>IF($J$47&lt;0.7,2.0699*$J$47^2-2.8993*$J$47+1.0265,0)</f>
        <v>1.0265</v>
      </c>
      <c r="AI24" s="334">
        <f>IF($J$47&lt;1,1.1182*$J$47^2-2.1276*$J$47+1.0252,0)</f>
        <v>1.0251999999999999</v>
      </c>
    </row>
    <row r="25" spans="1:35" ht="15.5">
      <c r="A25" s="323" t="s">
        <v>104</v>
      </c>
      <c r="B25" s="323" t="s">
        <v>1474</v>
      </c>
      <c r="C25" s="325">
        <f>HP!G54</f>
        <v>0</v>
      </c>
      <c r="D25" s="325">
        <f>HP!C54</f>
        <v>0</v>
      </c>
      <c r="E25" s="325">
        <f>HP!D54</f>
        <v>0</v>
      </c>
      <c r="F25" s="325">
        <f>HP!E54</f>
        <v>0</v>
      </c>
      <c r="G25" s="325">
        <f>HP!F54</f>
        <v>0</v>
      </c>
      <c r="I25" s="236" t="s">
        <v>116</v>
      </c>
      <c r="J25" s="327"/>
      <c r="K25" s="328"/>
      <c r="L25" s="329"/>
      <c r="M25" s="328"/>
      <c r="O25" s="333">
        <f t="shared" si="0"/>
        <v>9</v>
      </c>
      <c r="P25" s="334">
        <f>'Meteorological data'!F25</f>
        <v>8.5486792317486501E-2</v>
      </c>
      <c r="Q25" s="334">
        <f>'Meteorological data'!G25</f>
        <v>7.773972602739726E-2</v>
      </c>
      <c r="R25" s="335">
        <v>681</v>
      </c>
      <c r="S25" s="336">
        <f>R25*((24-HP!$B$30)/24)</f>
        <v>227</v>
      </c>
      <c r="T25" s="336">
        <f t="shared" si="1"/>
        <v>-6.0775190671376293</v>
      </c>
      <c r="U25" s="336">
        <f t="shared" si="2"/>
        <v>193.46389456424262</v>
      </c>
      <c r="V25" s="336">
        <f>IF(HP!$N$12=TRUE,(T25+U25),T25)</f>
        <v>-6.0775190671376293</v>
      </c>
      <c r="W25" s="325">
        <f>HP!$B$19+(((HP!$B$25-HP!$B$28)/2)*((HP!$B$19-O25)/(HP!$B$19-HP!$B$18)))+((AVERAGE(HP!$B$25,HP!$B$28)-HP!$B$19)*((HP!$B$19-O25)/(HP!$B$19-HP!$B$18))^(1/HP!$B$26))</f>
        <v>26.75603869245386</v>
      </c>
      <c r="X25" s="325">
        <f t="shared" ref="X25:X30" si="13">(($X$28-$X$23)/($O$28-$O$23))*(O25-$O$23)+$X$23</f>
        <v>0</v>
      </c>
      <c r="Y25" s="336" t="e">
        <f t="shared" si="11"/>
        <v>#DIV/0!</v>
      </c>
      <c r="Z25" s="336" t="e">
        <f t="shared" si="5"/>
        <v>#DIV/0!</v>
      </c>
      <c r="AA25" s="336">
        <f t="shared" si="6"/>
        <v>247.24891062021922</v>
      </c>
      <c r="AB25" s="336" t="e">
        <f t="shared" si="7"/>
        <v>#DIV/0!</v>
      </c>
      <c r="AC25" s="337" t="e">
        <f t="shared" si="8"/>
        <v>#DIV/0!</v>
      </c>
      <c r="AD25" s="338"/>
    </row>
    <row r="26" spans="1:35" ht="15.5">
      <c r="A26" s="323" t="s">
        <v>107</v>
      </c>
      <c r="B26" s="323" t="s">
        <v>1474</v>
      </c>
      <c r="C26" s="325">
        <f>IF(HP!C41="Yes",HP!G58,0)</f>
        <v>0</v>
      </c>
      <c r="D26" s="325">
        <f>IF(HP!$C$41="Yes",HP!C58,0)</f>
        <v>0</v>
      </c>
      <c r="E26" s="325">
        <f>IF(HP!$C$41="Yes",HP!D58,0)</f>
        <v>0</v>
      </c>
      <c r="F26" s="325">
        <f>IF(HP!$C$41="Yes",HP!E58,0)</f>
        <v>0</v>
      </c>
      <c r="G26" s="325">
        <f>IF(HP!$C$41="Yes",HP!F58,0)</f>
        <v>0</v>
      </c>
      <c r="I26" s="236" t="s">
        <v>119</v>
      </c>
      <c r="J26" s="329"/>
      <c r="K26" s="338"/>
      <c r="L26" s="329"/>
      <c r="M26" s="338"/>
      <c r="O26" s="333">
        <f t="shared" si="0"/>
        <v>10</v>
      </c>
      <c r="P26" s="334">
        <f>'Meteorological data'!F26</f>
        <v>6.875526782992307E-2</v>
      </c>
      <c r="Q26" s="334">
        <f>'Meteorological data'!G26</f>
        <v>7.294520547945206E-2</v>
      </c>
      <c r="R26" s="335">
        <v>639</v>
      </c>
      <c r="S26" s="336">
        <f>R26*((24-HP!$B$30)/24)</f>
        <v>213</v>
      </c>
      <c r="T26" s="336">
        <f t="shared" si="1"/>
        <v>-4.8880235165524804</v>
      </c>
      <c r="U26" s="336">
        <f t="shared" si="2"/>
        <v>181.53220062635984</v>
      </c>
      <c r="V26" s="336">
        <f>IF(HP!$N$12=TRUE,(T26+U26),T26)</f>
        <v>-4.8880235165524804</v>
      </c>
      <c r="W26" s="325">
        <f>HP!$B$19+(((HP!$B$25-HP!$B$28)/2)*((HP!$B$19-O26)/(HP!$B$19-HP!$B$18)))+((AVERAGE(HP!$B$25,HP!$B$28)-HP!$B$19)*((HP!$B$19-O26)/(HP!$B$19-HP!$B$18))^(1/HP!$B$26))</f>
        <v>26.029058592179084</v>
      </c>
      <c r="X26" s="325">
        <f t="shared" si="13"/>
        <v>0</v>
      </c>
      <c r="Y26" s="336" t="e">
        <f t="shared" si="11"/>
        <v>#DIV/0!</v>
      </c>
      <c r="Z26" s="336" t="e">
        <f t="shared" si="5"/>
        <v>#DIV/0!</v>
      </c>
      <c r="AA26" s="336">
        <f t="shared" si="6"/>
        <v>198.85721068133429</v>
      </c>
      <c r="AB26" s="336" t="e">
        <f t="shared" si="7"/>
        <v>#DIV/0!</v>
      </c>
      <c r="AC26" s="337" t="e">
        <f t="shared" si="8"/>
        <v>#DIV/0!</v>
      </c>
      <c r="AD26" s="338"/>
    </row>
    <row r="27" spans="1:35">
      <c r="J27" s="329"/>
      <c r="K27" s="338"/>
      <c r="L27" s="329"/>
      <c r="M27" s="338"/>
      <c r="O27" s="333">
        <f t="shared" si="0"/>
        <v>11</v>
      </c>
      <c r="P27" s="334">
        <f>'Meteorological data'!F27</f>
        <v>5.9179025518713124E-2</v>
      </c>
      <c r="Q27" s="334">
        <f>'Meteorological data'!G27</f>
        <v>7.5342465753424653E-2</v>
      </c>
      <c r="R27" s="335">
        <v>660</v>
      </c>
      <c r="S27" s="336">
        <f>R27*((24-HP!$B$30)/24)</f>
        <v>220</v>
      </c>
      <c r="T27" s="336">
        <f t="shared" si="1"/>
        <v>-4.2072189892079246</v>
      </c>
      <c r="U27" s="336">
        <f t="shared" si="2"/>
        <v>187.49804759530122</v>
      </c>
      <c r="V27" s="336">
        <f>IF(HP!$N$12=TRUE,(T27+U27),T27)</f>
        <v>-4.2072189892079246</v>
      </c>
      <c r="W27" s="325">
        <f>HP!$B$19+(((HP!$B$25-HP!$B$28)/2)*((HP!$B$19-O27)/(HP!$B$19-HP!$B$18)))+((AVERAGE(HP!$B$25,HP!$B$28)-HP!$B$19)*((HP!$B$19-O27)/(HP!$B$19-HP!$B$18))^(1/HP!$B$26))</f>
        <v>25.292496376735322</v>
      </c>
      <c r="X27" s="325">
        <f t="shared" si="13"/>
        <v>0</v>
      </c>
      <c r="Y27" s="336" t="e">
        <f t="shared" si="11"/>
        <v>#DIV/0!</v>
      </c>
      <c r="Z27" s="336" t="e">
        <f t="shared" si="5"/>
        <v>#DIV/0!</v>
      </c>
      <c r="AA27" s="336">
        <f t="shared" si="6"/>
        <v>171.16035348158661</v>
      </c>
      <c r="AB27" s="336" t="e">
        <f t="shared" si="7"/>
        <v>#DIV/0!</v>
      </c>
      <c r="AC27" s="337" t="e">
        <f t="shared" si="8"/>
        <v>#DIV/0!</v>
      </c>
      <c r="AD27" s="338"/>
    </row>
    <row r="28" spans="1:35">
      <c r="A28" s="322" t="s">
        <v>1482</v>
      </c>
      <c r="B28" s="322" t="s">
        <v>1483</v>
      </c>
      <c r="C28" s="322" t="str">
        <f>IF(C30="Yes","Medium",IF(HP!$B$25&lt;=45,IF(HP!C39="Yes","Low",IF(HP!C40="Yes","Intermediate","Medium")),IF(HP!$B$25&lt;=55,IF(HP!C40="Yes","Intermediate",IF(HP!C39="Yes","Low","Medium")),"Medium")))</f>
        <v>Medium</v>
      </c>
      <c r="I28" s="322" t="s">
        <v>206</v>
      </c>
      <c r="J28" s="329"/>
      <c r="K28" s="338"/>
      <c r="L28" s="329"/>
      <c r="M28" s="338"/>
      <c r="O28" s="339">
        <f t="shared" si="0"/>
        <v>12</v>
      </c>
      <c r="P28" s="340">
        <f>'Meteorological data'!F28</f>
        <v>4.3756612807775763E-2</v>
      </c>
      <c r="Q28" s="340">
        <f>'Meteorological data'!G28</f>
        <v>6.9634703196347028E-2</v>
      </c>
      <c r="R28" s="341">
        <v>610</v>
      </c>
      <c r="S28" s="342">
        <f>R28*((24-HP!$B$30)/24)</f>
        <v>203.33333333333331</v>
      </c>
      <c r="T28" s="342">
        <f t="shared" si="1"/>
        <v>-3.1107922223234352</v>
      </c>
      <c r="U28" s="342">
        <f t="shared" si="2"/>
        <v>173.29365005020264</v>
      </c>
      <c r="V28" s="336">
        <f>IF(HP!$N$12=TRUE,(T28+U28),T28)</f>
        <v>-3.1107922223234352</v>
      </c>
      <c r="W28" s="343">
        <f>HP!$B$19+(((HP!$B$25-HP!$B$28)/2)*((HP!$B$19-O28)/(HP!$B$19-HP!$B$18)))+((AVERAGE(HP!$B$25,HP!$B$28)-HP!$B$19)*((HP!$B$19-O28)/(HP!$B$19-HP!$B$18))^(1/HP!$B$26))</f>
        <v>24.544886160920115</v>
      </c>
      <c r="X28" s="343">
        <f>G41</f>
        <v>0</v>
      </c>
      <c r="Y28" s="342" t="e">
        <f t="shared" si="11"/>
        <v>#DIV/0!</v>
      </c>
      <c r="Z28" s="342" t="e">
        <f t="shared" si="5"/>
        <v>#DIV/0!</v>
      </c>
      <c r="AA28" s="342">
        <f t="shared" si="6"/>
        <v>126.5549280288095</v>
      </c>
      <c r="AB28" s="342" t="e">
        <f t="shared" si="7"/>
        <v>#DIV/0!</v>
      </c>
      <c r="AC28" s="344" t="e">
        <f t="shared" si="8"/>
        <v>#DIV/0!</v>
      </c>
      <c r="AD28" s="338"/>
    </row>
    <row r="29" spans="1:35">
      <c r="B29" s="322" t="s">
        <v>1484</v>
      </c>
      <c r="C29" s="322" t="str">
        <f>IF(C30="Yes","Error",IF(HP!$B$25&lt;=45,IF(C28="Low",IF(HP!C40="Yes","Intermediate","Medium"),IF(C28="Intermediate","Medium","Error")),IF(HP!B25&lt;=55,IF(C28="Low","Medium",IF(C28="Intermediate","Medium","Error")),IF(HP!C41="Yes","High","Error"))))</f>
        <v>Error</v>
      </c>
      <c r="J29" s="329"/>
      <c r="K29" s="338"/>
      <c r="L29" s="329"/>
      <c r="M29" s="338"/>
      <c r="N29" s="330"/>
      <c r="O29" s="333">
        <f t="shared" si="0"/>
        <v>13</v>
      </c>
      <c r="P29" s="334">
        <f>'Meteorological data'!F29</f>
        <v>3.1311084410810035E-2</v>
      </c>
      <c r="Q29" s="334">
        <f>'Meteorological data'!G29</f>
        <v>6.6438356164383566E-2</v>
      </c>
      <c r="R29" s="335">
        <v>582</v>
      </c>
      <c r="S29" s="336">
        <f>R29*((24-HP!$B$30)/24)</f>
        <v>194</v>
      </c>
      <c r="T29" s="336">
        <f t="shared" si="1"/>
        <v>-2.2260013197445563</v>
      </c>
      <c r="U29" s="336">
        <f t="shared" si="2"/>
        <v>165.33918742494745</v>
      </c>
      <c r="V29" s="336">
        <f>IF(HP!$N$12=TRUE,(T29+U29),T29)</f>
        <v>-2.2260013197445563</v>
      </c>
      <c r="W29" s="325">
        <f>HP!$B$19+(((HP!$B$25-HP!$B$28)/2)*((HP!$B$19-O29)/(HP!$B$19-HP!$B$18)))+((AVERAGE(HP!$B$25,HP!$B$28)-HP!$B$19)*((HP!$B$19-O29)/(HP!$B$19-HP!$B$18))^(1/HP!$B$26))</f>
        <v>23.784281062892784</v>
      </c>
      <c r="X29" s="325">
        <f t="shared" si="13"/>
        <v>0</v>
      </c>
      <c r="Y29" s="336" t="e">
        <f t="shared" si="11"/>
        <v>#DIV/0!</v>
      </c>
      <c r="Z29" s="336" t="e">
        <f t="shared" si="5"/>
        <v>#DIV/0!</v>
      </c>
      <c r="AA29" s="336">
        <f t="shared" si="6"/>
        <v>90.559387023894004</v>
      </c>
      <c r="AB29" s="336" t="e">
        <f t="shared" si="7"/>
        <v>#DIV/0!</v>
      </c>
      <c r="AC29" s="337" t="e">
        <f t="shared" si="8"/>
        <v>#DIV/0!</v>
      </c>
      <c r="AD29" s="338"/>
    </row>
    <row r="30" spans="1:35">
      <c r="B30" s="322" t="s">
        <v>1485</v>
      </c>
      <c r="C30" s="322" t="str">
        <f>IF(OR(HP!B12="Air to Air",HP!B12="Brine to Air",HP!B12="Water to Air"),"Yes","No")</f>
        <v>No</v>
      </c>
      <c r="J30" s="329"/>
      <c r="K30" s="338"/>
      <c r="L30" s="329"/>
      <c r="M30" s="338"/>
      <c r="N30" s="330"/>
      <c r="O30" s="333">
        <f t="shared" si="0"/>
        <v>14</v>
      </c>
      <c r="P30" s="334">
        <f>'Meteorological data'!F30</f>
        <v>1.7251582590606676E-2</v>
      </c>
      <c r="Q30" s="334">
        <f>'Meteorological data'!G30</f>
        <v>5.4908675799086759E-2</v>
      </c>
      <c r="R30" s="335">
        <v>481</v>
      </c>
      <c r="S30" s="336">
        <f>R30*((24-HP!$B$30)/24)</f>
        <v>160.33333333333331</v>
      </c>
      <c r="T30" s="336">
        <f t="shared" si="1"/>
        <v>-1.2264680810963708</v>
      </c>
      <c r="U30" s="336">
        <f t="shared" si="2"/>
        <v>136.64630438384833</v>
      </c>
      <c r="V30" s="336">
        <f>IF(HP!$N$12=TRUE,(T30+U30),T30)</f>
        <v>-1.2264680810963708</v>
      </c>
      <c r="W30" s="325">
        <f>HP!$B$19+(((HP!$B$25-HP!$B$28)/2)*((HP!$B$19-O30)/(HP!$B$19-HP!$B$18)))+((AVERAGE(HP!$B$25,HP!$B$28)-HP!$B$19)*((HP!$B$19-O30)/(HP!$B$19-HP!$B$18))^(1/HP!$B$26))</f>
        <v>23.007980040074486</v>
      </c>
      <c r="X30" s="325">
        <f t="shared" si="13"/>
        <v>0</v>
      </c>
      <c r="Y30" s="336" t="e">
        <f t="shared" si="11"/>
        <v>#DIV/0!</v>
      </c>
      <c r="Z30" s="336" t="e">
        <f t="shared" si="5"/>
        <v>#DIV/0!</v>
      </c>
      <c r="AA30" s="336">
        <f t="shared" si="6"/>
        <v>49.895836378571616</v>
      </c>
      <c r="AB30" s="336" t="e">
        <f t="shared" si="7"/>
        <v>#DIV/0!</v>
      </c>
      <c r="AC30" s="337" t="e">
        <f t="shared" si="8"/>
        <v>#DIV/0!</v>
      </c>
      <c r="AD30" s="338"/>
    </row>
    <row r="31" spans="1:35" ht="14.5">
      <c r="A31" s="323" t="s">
        <v>1486</v>
      </c>
      <c r="B31" s="322" t="str">
        <f>C28</f>
        <v>Medium</v>
      </c>
      <c r="C31" s="322">
        <f>IF($C$28="Low",C15,IF($C$28="Intermediate",C16,C17))</f>
        <v>55</v>
      </c>
      <c r="D31" s="322">
        <f>IF($C$28="Low",D15,IF($C$28="Intermediate",D16,D17))</f>
        <v>52</v>
      </c>
      <c r="E31" s="322">
        <f>IF($C$28="Low",E15,IF($C$28="Intermediate",E16,E17))</f>
        <v>42</v>
      </c>
      <c r="F31" s="322">
        <f>IF($C$28="Low",F15,IF($C$28="Intermediate",F16,F17))</f>
        <v>36</v>
      </c>
      <c r="G31" s="322">
        <f>IF($C$28="Low",G15,IF($C$28="Intermediate",G16,G17))</f>
        <v>30</v>
      </c>
      <c r="J31" s="329"/>
      <c r="K31" s="338"/>
      <c r="L31" s="329"/>
      <c r="M31" s="338"/>
      <c r="O31" s="333">
        <f t="shared" si="0"/>
        <v>15</v>
      </c>
      <c r="P31" s="334">
        <f>'Meteorological data'!F31</f>
        <v>9.002385094058785E-3</v>
      </c>
      <c r="Q31" s="334">
        <f>'Meteorological data'!G31</f>
        <v>5.7305936073059359E-2</v>
      </c>
      <c r="R31" s="335">
        <v>502</v>
      </c>
      <c r="S31" s="336">
        <f>R31*((24-HP!$B$30)/24)</f>
        <v>167.33333333333331</v>
      </c>
      <c r="T31" s="336">
        <f t="shared" si="1"/>
        <v>-0.6400072522976904</v>
      </c>
      <c r="U31" s="336">
        <f t="shared" si="2"/>
        <v>142.61215135278971</v>
      </c>
      <c r="V31" s="336">
        <f>IF(HP!$N$12=TRUE,(T31+U31),T31)</f>
        <v>-0.6400072522976904</v>
      </c>
      <c r="W31" s="325">
        <f>HP!$B$19+(((HP!$B$25-HP!$B$28)/2)*((HP!$B$19-O31)/(HP!$B$19-HP!$B$18)))+((AVERAGE(HP!$B$25,HP!$B$28)-HP!$B$19)*((HP!$B$19-O31)/(HP!$B$19-HP!$B$18))^(1/HP!$B$26))</f>
        <v>22.21200418904715</v>
      </c>
      <c r="X31" s="325">
        <f>(($X$28-$X$23)/($O$28-$O$23))*(O31-$O$23)+$X$23</f>
        <v>0</v>
      </c>
      <c r="Y31" s="336" t="e">
        <f t="shared" si="11"/>
        <v>#DIV/0!</v>
      </c>
      <c r="Z31" s="336" t="e">
        <f t="shared" si="5"/>
        <v>#DIV/0!</v>
      </c>
      <c r="AA31" s="336">
        <f t="shared" si="6"/>
        <v>26.037120438714087</v>
      </c>
      <c r="AB31" s="336" t="e">
        <f t="shared" si="7"/>
        <v>#DIV/0!</v>
      </c>
      <c r="AC31" s="337" t="e">
        <f t="shared" si="8"/>
        <v>#DIV/0!</v>
      </c>
      <c r="AD31" s="338"/>
    </row>
    <row r="32" spans="1:35" ht="14.5">
      <c r="A32" s="323" t="s">
        <v>1487</v>
      </c>
      <c r="B32" s="322" t="str">
        <f>C29</f>
        <v>Error</v>
      </c>
      <c r="C32" s="322">
        <f>IF($C$29="High",C18,IF($C$29="Medium",C17,IF($C$29="Error",0,C16)))</f>
        <v>0</v>
      </c>
      <c r="D32" s="322">
        <f>IF($C$29="High",D18,IF($C$29="Medium",D17,IF($C$29="Error",0,D16)))</f>
        <v>0</v>
      </c>
      <c r="E32" s="322">
        <f>IF($C$29="High",E18,IF($C$29="Medium",E17,IF($C$29="Error",0,E16)))</f>
        <v>0</v>
      </c>
      <c r="F32" s="322">
        <f>IF($C$29="High",F18,IF($C$29="Medium",F17,IF($C$29="Error",0,F16)))</f>
        <v>0</v>
      </c>
      <c r="G32" s="322">
        <f>IF($C$29="High",G18,IF($C$29="Medium",G17,IF($C$29="Error",0,G16)))</f>
        <v>0</v>
      </c>
      <c r="J32" s="329"/>
      <c r="K32" s="338"/>
      <c r="L32" s="329"/>
      <c r="M32" s="338"/>
      <c r="O32" s="333">
        <f t="shared" si="0"/>
        <v>16</v>
      </c>
      <c r="Q32" s="334">
        <f>'Meteorological data'!G32</f>
        <v>4.3721461187214615E-2</v>
      </c>
      <c r="R32" s="335">
        <v>383</v>
      </c>
      <c r="S32" s="336">
        <f>R32*((24-HP!$B$30)/24)</f>
        <v>127.66666666666666</v>
      </c>
      <c r="U32" s="336">
        <f t="shared" si="2"/>
        <v>108.80568519545511</v>
      </c>
      <c r="V32" s="336">
        <f>IF(HP!$N$12=TRUE,(T32+U32),T32)</f>
        <v>0</v>
      </c>
      <c r="W32" s="325" t="s">
        <v>206</v>
      </c>
      <c r="AC32" s="329"/>
      <c r="AD32" s="338"/>
    </row>
    <row r="33" spans="1:30">
      <c r="A33" s="323" t="s">
        <v>1488</v>
      </c>
      <c r="B33" s="322" t="str">
        <f>C28</f>
        <v>Medium</v>
      </c>
      <c r="C33" s="322">
        <f>IF($C$28="Low",C19,IF($C$28="Intermediate",C20,C21))</f>
        <v>0</v>
      </c>
      <c r="D33" s="322">
        <f>IF($C$28="Low",D19,IF($C$28="Intermediate",D20,D21))</f>
        <v>0</v>
      </c>
      <c r="E33" s="322">
        <f>IF($C$28="Low",E19,IF($C$28="Intermediate",E20,E21))</f>
        <v>0</v>
      </c>
      <c r="F33" s="322">
        <f>IF($C$28="Low",F19,IF($C$28="Intermediate",F20,F21))</f>
        <v>0</v>
      </c>
      <c r="G33" s="322">
        <f>IF($C$28="Low",G19,IF($C$28="Intermediate",G20,G21))</f>
        <v>0</v>
      </c>
      <c r="J33" s="329"/>
      <c r="K33" s="338"/>
      <c r="L33" s="329"/>
      <c r="M33" s="338"/>
      <c r="O33" s="333">
        <f t="shared" si="0"/>
        <v>17</v>
      </c>
      <c r="Q33" s="334">
        <f>'Meteorological data'!G33</f>
        <v>2.9566210045662102E-2</v>
      </c>
      <c r="R33" s="335">
        <v>259</v>
      </c>
      <c r="S33" s="336">
        <f>R33*((24-HP!$B$30)/24)</f>
        <v>86.333333333333329</v>
      </c>
      <c r="U33" s="336">
        <f t="shared" si="2"/>
        <v>73.578779283610629</v>
      </c>
      <c r="V33" s="336">
        <f>IF(HP!$N$12=TRUE,(T33+U33),T33)</f>
        <v>0</v>
      </c>
      <c r="W33" s="325" t="s">
        <v>206</v>
      </c>
      <c r="AC33" s="329"/>
      <c r="AD33" s="338"/>
    </row>
    <row r="34" spans="1:30">
      <c r="A34" s="323" t="s">
        <v>1489</v>
      </c>
      <c r="B34" s="322" t="str">
        <f>C29</f>
        <v>Error</v>
      </c>
      <c r="C34" s="322">
        <f>IF($C$29="High",C22,IF($C$29="Medium",C21,IF($C$29="Error",0,C20)))</f>
        <v>0</v>
      </c>
      <c r="D34" s="322">
        <f>IF($C$29="High",D22,IF($C$29="Medium",D21,IF($C$29="Error",0,D20)))</f>
        <v>0</v>
      </c>
      <c r="E34" s="322">
        <f>IF($C$29="High",E22,IF($C$29="Medium",E21,IF($C$29="Error",0,E20)))</f>
        <v>0</v>
      </c>
      <c r="F34" s="322">
        <f>IF($C$29="High",F22,IF($C$29="Medium",F21,IF($C$29="Error",0,F20)))</f>
        <v>0</v>
      </c>
      <c r="G34" s="322">
        <f>IF($C$29="High",G22,IF($C$29="Medium",G21,IF($C$29="Error",0,G20)))</f>
        <v>0</v>
      </c>
      <c r="J34" s="329"/>
      <c r="K34" s="338"/>
      <c r="L34" s="329"/>
      <c r="M34" s="338"/>
      <c r="O34" s="333">
        <f t="shared" si="0"/>
        <v>18</v>
      </c>
      <c r="Q34" s="334">
        <f>'Meteorological data'!G34</f>
        <v>1.9406392694063926E-2</v>
      </c>
      <c r="R34" s="335">
        <v>170</v>
      </c>
      <c r="S34" s="336">
        <f>R34*((24-HP!$B$30)/24)</f>
        <v>56.666666666666664</v>
      </c>
      <c r="U34" s="336">
        <f t="shared" si="2"/>
        <v>48.294951653335161</v>
      </c>
      <c r="V34" s="336">
        <f>IF(HP!$N$12=TRUE,(T34+U34),T34)</f>
        <v>0</v>
      </c>
      <c r="W34" s="325" t="s">
        <v>206</v>
      </c>
      <c r="AC34" s="329"/>
      <c r="AD34" s="338"/>
    </row>
    <row r="35" spans="1:30">
      <c r="A35" s="323" t="s">
        <v>1490</v>
      </c>
      <c r="B35" s="322" t="str">
        <f>C28</f>
        <v>Medium</v>
      </c>
      <c r="C35" s="322">
        <f>IF($C$28="Low",C23,IF($C$28="Intermediate",C24,C25))</f>
        <v>0</v>
      </c>
      <c r="D35" s="322">
        <f>IF($C$28="Low",D23,IF($C$28="Intermediate",D24,D25))</f>
        <v>0</v>
      </c>
      <c r="E35" s="322">
        <f>IF($C$28="Low",E23,IF($C$28="Intermediate",E24,E25))</f>
        <v>0</v>
      </c>
      <c r="F35" s="322">
        <f>IF($C$28="Low",F23,IF($C$28="Intermediate",F24,F25))</f>
        <v>0</v>
      </c>
      <c r="G35" s="322">
        <f>IF($C$28="Low",G23,IF($C$28="Intermediate",G24,G25))</f>
        <v>0</v>
      </c>
      <c r="J35" s="329"/>
      <c r="K35" s="338"/>
      <c r="L35" s="329"/>
      <c r="M35" s="338"/>
      <c r="O35" s="333">
        <f t="shared" si="0"/>
        <v>19</v>
      </c>
      <c r="Q35" s="334">
        <f>'Meteorological data'!G35</f>
        <v>1.2785388127853882E-2</v>
      </c>
      <c r="R35" s="335">
        <v>112</v>
      </c>
      <c r="S35" s="336">
        <f>R35*((24-HP!$B$30)/24)</f>
        <v>37.333333333333329</v>
      </c>
      <c r="U35" s="336">
        <f t="shared" si="2"/>
        <v>31.817850501020818</v>
      </c>
      <c r="V35" s="336">
        <f>IF(HP!$N$12=TRUE,(T35+U35),T35)</f>
        <v>0</v>
      </c>
      <c r="W35" s="325" t="s">
        <v>206</v>
      </c>
      <c r="AC35" s="329"/>
      <c r="AD35" s="338"/>
    </row>
    <row r="36" spans="1:30">
      <c r="A36" s="323" t="s">
        <v>1491</v>
      </c>
      <c r="B36" s="322" t="str">
        <f>C29</f>
        <v>Error</v>
      </c>
      <c r="C36" s="322">
        <f>IF($C$29="High",C26,IF($C$29="Medium",C25,IF($C$29="Error",0,C24)))</f>
        <v>0</v>
      </c>
      <c r="D36" s="322">
        <f>IF($C$29="High",D26,IF($C$29="Medium",D25,IF($C$29="Error",0,D24)))</f>
        <v>0</v>
      </c>
      <c r="E36" s="322">
        <f>IF($C$29="High",E26,IF($C$29="Medium",E25,IF($C$29="Error",0,E24)))</f>
        <v>0</v>
      </c>
      <c r="F36" s="322">
        <f>IF($C$29="High",F26,IF($C$29="Medium",F25,IF($C$29="Error",0,F24)))</f>
        <v>0</v>
      </c>
      <c r="G36" s="322">
        <f>IF($C$29="High",G26,IF($C$29="Medium",G25,IF($C$29="Error",0,G24)))</f>
        <v>0</v>
      </c>
      <c r="J36" s="329"/>
      <c r="K36" s="338"/>
      <c r="L36" s="329"/>
      <c r="M36" s="338"/>
      <c r="O36" s="333">
        <f t="shared" si="0"/>
        <v>20</v>
      </c>
      <c r="Q36" s="334">
        <f>'Meteorological data'!G36</f>
        <v>7.6484018264840184E-3</v>
      </c>
      <c r="R36" s="335">
        <v>67</v>
      </c>
      <c r="S36" s="336">
        <f>R36*((24-HP!$B$30)/24)</f>
        <v>22.333333333333332</v>
      </c>
      <c r="U36" s="336">
        <f t="shared" si="2"/>
        <v>19.033892710432095</v>
      </c>
      <c r="V36" s="336">
        <f>IF(HP!$N$12=TRUE,(T36+U36),T36)</f>
        <v>0</v>
      </c>
      <c r="W36" s="325" t="s">
        <v>206</v>
      </c>
      <c r="X36" s="323" t="s">
        <v>1492</v>
      </c>
      <c r="AC36" s="329"/>
      <c r="AD36" s="338"/>
    </row>
    <row r="37" spans="1:30" ht="90" customHeight="1">
      <c r="A37" s="329" t="s">
        <v>1493</v>
      </c>
      <c r="B37" s="322" t="s">
        <v>1494</v>
      </c>
      <c r="C37" s="345">
        <f>HP!$B$19+((HP!$B$27/2)*((HP!$B$19-C3)/(HP!$B$19-HP!$B$18)))+((AVERAGE(55,(55-HP!B27))-HP!$B$19)*((HP!$B$19-C3)/(HP!$B$19-HP!$B$18))^(1/HP!$B$26))</f>
        <v>64.789685771946708</v>
      </c>
      <c r="D37" s="345">
        <f>HP!$B$19+(((HP!$B$27)/2)*((HP!$B$19-D3)/(HP!$B$19-HP!$B$18)))+((AVERAGE(55,(55-HP!$B$27))-HP!$B$19)*((HP!$B$19-D3)/(HP!$B$19-HP!$B$18))^(1/HP!$B$26))</f>
        <v>60.640194042880587</v>
      </c>
      <c r="E37" s="345">
        <f>HP!$B$19+(((HP!$B$27)/2)*((HP!$B$19-E3)/(HP!$B$19-HP!$B$18)))+((AVERAGE(55,(55-HP!$B$27))-HP!$B$19)*((HP!$B$19-E3)/(HP!$B$19-HP!$B$18))^(1/HP!$B$26))</f>
        <v>47.737547795040236</v>
      </c>
      <c r="F37" s="345">
        <f>HP!$B$19+(((HP!$B$27)/2)*((HP!$B$19-F3)/(HP!$B$19-HP!$B$18)))+((AVERAGE(55,(55-HP!$B$27))-HP!$B$19)*((HP!$B$19-F3)/(HP!$B$19-HP!$B$18))^(1/HP!$B$26))</f>
        <v>40.157921700660644</v>
      </c>
      <c r="G37" s="345">
        <f>HP!$B$19+(((HP!$B$27)/2)*((HP!$B$19-G3)/(HP!$B$19-HP!$B$18)))+((AVERAGE(55,(55-HP!$B$27))-HP!$B$19)*((HP!$B$19-G3)/(HP!$B$19-HP!$B$18))^(1/HP!$B$26))</f>
        <v>32.088285312900695</v>
      </c>
      <c r="I37" s="331" t="s">
        <v>1495</v>
      </c>
      <c r="J37" s="329"/>
      <c r="K37" s="338"/>
      <c r="L37" s="329"/>
      <c r="M37" s="338"/>
      <c r="O37" s="333">
        <f t="shared" si="0"/>
        <v>21</v>
      </c>
      <c r="Q37" s="334">
        <f>'Meteorological data'!G37</f>
        <v>4.2237442922374432E-3</v>
      </c>
      <c r="R37" s="335">
        <v>37</v>
      </c>
      <c r="S37" s="336">
        <f>R37*((24-HP!$B$30)/24)</f>
        <v>12.333333333333332</v>
      </c>
      <c r="U37" s="336">
        <f t="shared" si="2"/>
        <v>10.511254183372948</v>
      </c>
      <c r="V37" s="336">
        <f>IF(HP!$N$12=TRUE,(T37+U37),T37)</f>
        <v>0</v>
      </c>
      <c r="W37" s="325" t="s">
        <v>206</v>
      </c>
      <c r="AC37" s="329"/>
      <c r="AD37" s="338"/>
    </row>
    <row r="38" spans="1:30">
      <c r="A38" s="322" t="s">
        <v>1496</v>
      </c>
      <c r="B38" s="323" t="s">
        <v>1497</v>
      </c>
      <c r="C38" s="322">
        <f>IF(OR(HP!$B$12="Air to Water",HP!$B$12="Air to Air"),C3,IF(HP!$B$12="Exhaust Air to Water",HP!B19,IF(OR(HP!$B$12="Water to Water",HP!$B$12="Water to Air"),10,MAX(0,MIN(0.15*C3+1.5,4.5)))))</f>
        <v>-10</v>
      </c>
      <c r="D38" s="322">
        <f>IF(OR(HP!$B$12="Air to Water",HP!$B$12="Air to Air"),D3,IF(HP!$B$12="Exhaust Air to Water",HP!B19,IF(OR(HP!$B$12="Water to Water",HP!$B$12="Water to Air"),10,MAX(0,MIN(0.15*D3+1.5,4.5)))))</f>
        <v>-7</v>
      </c>
      <c r="E38" s="322">
        <f>IF(OR(HP!$B$12="Air to Water",HP!$B$12="Air to Air"),E3,IF(HP!$B$12="Exhaust Air to Water",HP!B19,IF(OR(HP!$B$12="Water to Water",HP!$B$12="Water to Air"),10,MAX(0,MIN(0.15*E3+1.5,4.5)))))</f>
        <v>2</v>
      </c>
      <c r="F38" s="322">
        <f>IF(OR(HP!$B$12="Air to Water",HP!$B$12="Air to Air"),F3,IF(HP!$B$12="Exhaust Air to Water",HP!B19,IF(OR(HP!$B$12="Water to Water",HP!$B$12="Water to Air"),10,MAX(0,MIN(0.15*F3+1.5,4.5)))))</f>
        <v>7</v>
      </c>
      <c r="G38" s="322">
        <f>IF(OR(HP!$B$12="Air to Water",HP!$B$12="Air to Air"),G3,IF(HP!$B$12="Exhaust Air to Water",HP!B19,IF(OR(HP!$B$12="Water to Water",HP!$B$12="Water to Air"),10,MAX(0,MIN(0.15*G3+1.5,4.5)))))</f>
        <v>12</v>
      </c>
      <c r="J38" s="329"/>
      <c r="K38" s="328"/>
      <c r="L38" s="329"/>
      <c r="M38" s="328"/>
      <c r="N38" s="323"/>
      <c r="O38" s="333">
        <f t="shared" si="0"/>
        <v>22</v>
      </c>
      <c r="Q38" s="334">
        <f>'Meteorological data'!G38</f>
        <v>3.0821917808219177E-3</v>
      </c>
      <c r="R38" s="335">
        <v>27</v>
      </c>
      <c r="S38" s="336">
        <f>R38*((24-HP!$B$30)/24)</f>
        <v>9</v>
      </c>
      <c r="U38" s="336">
        <f t="shared" si="2"/>
        <v>7.6703746743532317</v>
      </c>
      <c r="V38" s="336">
        <f>IF(HP!$N$12=TRUE,(T38+U38),T38)</f>
        <v>0</v>
      </c>
      <c r="W38" s="325" t="s">
        <v>206</v>
      </c>
      <c r="AC38" s="329"/>
      <c r="AD38" s="338"/>
    </row>
    <row r="39" spans="1:30" ht="119.25" customHeight="1">
      <c r="A39" s="322" t="s">
        <v>1498</v>
      </c>
      <c r="B39" s="322" t="s">
        <v>1499</v>
      </c>
      <c r="C39" s="336">
        <f>HP!$B$19+(((HP!$B$25-HP!$B$28)/2)*((HP!$B$19-C3)/(HP!$B$19-HP!$B$18)))+((AVERAGE(HP!$B$25,HP!$B$28)-HP!$B$19)*((HP!$B$19-C3)/(HP!$B$19-HP!$B$18))^(1/HP!$B$26))</f>
        <v>39.554171935372082</v>
      </c>
      <c r="D39" s="336">
        <f>HP!$B$19+(((HP!$B$25-HP!$B$28)/2)*((HP!$B$19-D3)/(HP!$B$19-HP!$B$18)))+((AVERAGE(HP!$B$25,HP!$B$28)-HP!$B$19)*((HP!$B$19-D3)/(HP!$B$19-HP!$B$18))^(1/HP!$B$26))</f>
        <v>37.618975602563452</v>
      </c>
      <c r="E39" s="336">
        <f>HP!$B$19+(((HP!$B$25-HP!$B$28)/2)*((HP!$B$19-E3)/(HP!$B$19-HP!$B$18)))+((AVERAGE(HP!$B$25,HP!$B$28)-HP!$B$19)*((HP!$B$19-E3)/(HP!$B$19-HP!$B$18))^(1/HP!$B$26))</f>
        <v>31.649885022306439</v>
      </c>
      <c r="F39" s="336">
        <f>HP!$B$19+(((HP!$B$25-HP!$B$28)/2)*((HP!$B$19-F3)/(HP!$B$19-HP!$B$18)))+((AVERAGE(HP!$B$25,HP!$B$28)-HP!$B$19)*((HP!$B$19-F3)/(HP!$B$19-HP!$B$18))^(1/HP!$B$26))</f>
        <v>28.185587444421738</v>
      </c>
      <c r="G39" s="336">
        <f>HP!$B$19+(((HP!$B$25-HP!$B$28)/2)*((HP!$B$19-G3)/(HP!$B$19-HP!$B$18)))+((AVERAGE(HP!$B$25,HP!$B$28)-HP!$B$19)*((HP!$B$19-G3)/(HP!$B$19-HP!$B$18))^(1/HP!$B$26))</f>
        <v>24.544886160920115</v>
      </c>
      <c r="H39" s="322" t="s">
        <v>206</v>
      </c>
      <c r="L39" s="329"/>
      <c r="M39" s="328"/>
      <c r="O39" s="333">
        <f t="shared" si="0"/>
        <v>23</v>
      </c>
      <c r="Q39" s="334">
        <f>'Meteorological data'!G39</f>
        <v>2.2831050228310501E-3</v>
      </c>
      <c r="R39" s="335">
        <v>20</v>
      </c>
      <c r="S39" s="336">
        <f>R39*((24-HP!$B$30)/24)</f>
        <v>6.6666666666666661</v>
      </c>
      <c r="U39" s="336">
        <f t="shared" si="2"/>
        <v>5.6817590180394308</v>
      </c>
      <c r="V39" s="336">
        <f>IF(HP!$N$12=TRUE,(T39+U39),T39)</f>
        <v>0</v>
      </c>
      <c r="W39" s="325" t="s">
        <v>206</v>
      </c>
      <c r="AC39" s="329"/>
      <c r="AD39" s="338"/>
    </row>
    <row r="40" spans="1:30">
      <c r="A40" s="322" t="s">
        <v>1500</v>
      </c>
      <c r="B40" s="322" t="s">
        <v>1501</v>
      </c>
      <c r="C40" s="726" t="s">
        <v>1502</v>
      </c>
      <c r="D40" s="726"/>
      <c r="E40" s="726"/>
      <c r="F40" s="726"/>
      <c r="G40" s="726"/>
      <c r="H40" s="726"/>
      <c r="J40" s="329"/>
      <c r="K40" s="329"/>
      <c r="L40" s="329"/>
      <c r="M40" s="329"/>
      <c r="N40" s="323"/>
      <c r="O40" s="333">
        <f t="shared" si="0"/>
        <v>24</v>
      </c>
      <c r="Q40" s="334">
        <f>'Meteorological data'!G40</f>
        <v>1.4840182648401827E-3</v>
      </c>
      <c r="R40" s="335">
        <v>13</v>
      </c>
      <c r="S40" s="336">
        <f>R40*((24-HP!$B$30)/24)</f>
        <v>4.333333333333333</v>
      </c>
      <c r="U40" s="336">
        <f t="shared" si="2"/>
        <v>3.6931433617256304</v>
      </c>
      <c r="V40" s="336">
        <f>IF(HP!$N$12=TRUE,(T40+U40),T40)</f>
        <v>0</v>
      </c>
      <c r="W40" s="325" t="s">
        <v>206</v>
      </c>
    </row>
    <row r="41" spans="1:30" ht="100">
      <c r="A41" s="322" t="s">
        <v>1503</v>
      </c>
      <c r="B41" s="322" t="s">
        <v>1504</v>
      </c>
      <c r="C41" s="325">
        <f>IF($C$29="Error",C35,((C36-C35)/(C32-C31))*(C39-C31)+C35)</f>
        <v>0</v>
      </c>
      <c r="D41" s="325">
        <f>IF($C$29="Error",D35,((D36-D35)/(D32-D31))*(D39-D31)+D35)</f>
        <v>0</v>
      </c>
      <c r="E41" s="325">
        <f>IF($C$29="Error",E35,((E36-E35)/(E32-E31))*(E39-E31)+E35)</f>
        <v>0</v>
      </c>
      <c r="F41" s="325">
        <f>IF($C$29="Error",F35,((F36-F35)/(F32-F31))*(F39-F31)+F35)</f>
        <v>0</v>
      </c>
      <c r="G41" s="325">
        <f>IF($C$29="Error",G35,((G36-G35)/(G32-G31))*(G39-G31)+G35)</f>
        <v>0</v>
      </c>
      <c r="I41" s="331" t="s">
        <v>1505</v>
      </c>
      <c r="J41" s="329"/>
      <c r="K41" s="338"/>
      <c r="L41" s="329"/>
      <c r="M41" s="338"/>
      <c r="N41" s="330"/>
      <c r="O41" s="333">
        <f t="shared" si="0"/>
        <v>25</v>
      </c>
      <c r="Q41" s="334">
        <f>'Meteorological data'!G41</f>
        <v>0</v>
      </c>
      <c r="R41" s="335">
        <v>0</v>
      </c>
      <c r="S41" s="336">
        <f>R41*((24-HP!$B$30)/24)</f>
        <v>0</v>
      </c>
      <c r="U41" s="336">
        <f t="shared" si="2"/>
        <v>0</v>
      </c>
      <c r="V41" s="336">
        <f>IF(HP!$N$12=TRUE,(T41+U41),T41)</f>
        <v>0</v>
      </c>
      <c r="W41" s="325" t="s">
        <v>206</v>
      </c>
    </row>
    <row r="42" spans="1:30">
      <c r="C42" s="336"/>
      <c r="D42" s="336"/>
      <c r="E42" s="336"/>
      <c r="F42" s="336"/>
      <c r="G42" s="336"/>
      <c r="J42" s="329"/>
      <c r="K42" s="338"/>
      <c r="L42" s="329"/>
      <c r="M42" s="338"/>
      <c r="O42" s="333">
        <f t="shared" si="0"/>
        <v>26</v>
      </c>
      <c r="Q42" s="334">
        <f>'Meteorological data'!G42</f>
        <v>0</v>
      </c>
      <c r="R42" s="335">
        <v>0</v>
      </c>
      <c r="S42" s="336">
        <f>R42*((24-HP!$B$30)/24)</f>
        <v>0</v>
      </c>
      <c r="U42" s="336">
        <f t="shared" si="2"/>
        <v>0</v>
      </c>
      <c r="V42" s="336">
        <f>IF(HP!$N$12=TRUE,(T42+U42),T42)</f>
        <v>0</v>
      </c>
      <c r="W42" s="325" t="s">
        <v>206</v>
      </c>
    </row>
    <row r="43" spans="1:30" ht="50">
      <c r="A43" s="322" t="s">
        <v>1506</v>
      </c>
      <c r="B43" s="322" t="s">
        <v>1507</v>
      </c>
      <c r="C43" s="322">
        <f>IF(C28="Low",F35,F35)</f>
        <v>0</v>
      </c>
      <c r="D43" s="322" t="s">
        <v>1386</v>
      </c>
      <c r="I43" s="330" t="s">
        <v>1508</v>
      </c>
      <c r="J43" s="329"/>
      <c r="K43" s="338"/>
      <c r="L43" s="329"/>
      <c r="M43" s="338"/>
      <c r="N43" s="330"/>
      <c r="O43" s="333">
        <f t="shared" si="0"/>
        <v>27</v>
      </c>
      <c r="Q43" s="334">
        <f>'Meteorological data'!G43</f>
        <v>0</v>
      </c>
      <c r="R43" s="335">
        <v>0</v>
      </c>
      <c r="S43" s="336">
        <f>R43*((24-HP!$B$30)/24)</f>
        <v>0</v>
      </c>
      <c r="U43" s="336">
        <f t="shared" si="2"/>
        <v>0</v>
      </c>
      <c r="V43" s="336">
        <f>IF(HP!$N$12=TRUE,(T43+U43),T43)</f>
        <v>0</v>
      </c>
      <c r="W43" s="325" t="s">
        <v>206</v>
      </c>
    </row>
    <row r="44" spans="1:30">
      <c r="A44" s="322" t="s">
        <v>1509</v>
      </c>
      <c r="B44" s="322" t="s">
        <v>1510</v>
      </c>
      <c r="C44" s="325">
        <f>C43/(4.182*5)</f>
        <v>0</v>
      </c>
      <c r="D44" s="325" t="s">
        <v>206</v>
      </c>
      <c r="F44" s="325" t="s">
        <v>206</v>
      </c>
      <c r="G44" s="325" t="s">
        <v>206</v>
      </c>
      <c r="I44" s="322" t="s">
        <v>1511</v>
      </c>
      <c r="J44" s="329"/>
      <c r="K44" s="338"/>
      <c r="L44" s="329"/>
      <c r="M44" s="338"/>
      <c r="O44" s="333">
        <f t="shared" si="0"/>
        <v>28</v>
      </c>
      <c r="Q44" s="334">
        <f>'Meteorological data'!G44</f>
        <v>0</v>
      </c>
      <c r="R44" s="335">
        <v>0</v>
      </c>
      <c r="S44" s="336">
        <f>R44*((24-HP!$B$30)/24)</f>
        <v>0</v>
      </c>
      <c r="U44" s="336">
        <f t="shared" si="2"/>
        <v>0</v>
      </c>
      <c r="V44" s="336">
        <f>IF(HP!$N$12=TRUE,(T44+U44),T44)</f>
        <v>0</v>
      </c>
      <c r="W44" s="325" t="s">
        <v>206</v>
      </c>
    </row>
    <row r="45" spans="1:30">
      <c r="A45" s="322" t="s">
        <v>1512</v>
      </c>
      <c r="B45" s="322" t="s">
        <v>1513</v>
      </c>
      <c r="C45" s="325" t="e">
        <f>C35/($C$44*4.182)</f>
        <v>#DIV/0!</v>
      </c>
      <c r="D45" s="325" t="e">
        <f t="shared" ref="C45:G46" si="14">D35/($C$44*4.182)</f>
        <v>#DIV/0!</v>
      </c>
      <c r="E45" s="325" t="e">
        <f t="shared" si="14"/>
        <v>#DIV/0!</v>
      </c>
      <c r="F45" s="325" t="e">
        <f t="shared" si="14"/>
        <v>#DIV/0!</v>
      </c>
      <c r="G45" s="325" t="e">
        <f t="shared" si="14"/>
        <v>#DIV/0!</v>
      </c>
      <c r="J45" s="329"/>
      <c r="K45" s="338"/>
      <c r="L45" s="329"/>
      <c r="M45" s="338"/>
      <c r="O45" s="333">
        <f t="shared" si="0"/>
        <v>29</v>
      </c>
      <c r="Q45" s="334">
        <f>'Meteorological data'!G45</f>
        <v>0</v>
      </c>
      <c r="R45" s="335">
        <v>0</v>
      </c>
      <c r="S45" s="336">
        <f>R45*((24-HP!$B$30)/24)</f>
        <v>0</v>
      </c>
      <c r="U45" s="336">
        <f t="shared" si="2"/>
        <v>0</v>
      </c>
      <c r="V45" s="336">
        <f>IF(HP!$N$12=TRUE,(T45+U45),T45)</f>
        <v>0</v>
      </c>
      <c r="W45" s="325" t="s">
        <v>206</v>
      </c>
    </row>
    <row r="46" spans="1:30">
      <c r="A46" s="322" t="s">
        <v>1514</v>
      </c>
      <c r="B46" s="322" t="s">
        <v>1513</v>
      </c>
      <c r="C46" s="325" t="e">
        <f t="shared" si="14"/>
        <v>#DIV/0!</v>
      </c>
      <c r="D46" s="325" t="e">
        <f t="shared" si="14"/>
        <v>#DIV/0!</v>
      </c>
      <c r="E46" s="325" t="e">
        <f t="shared" si="14"/>
        <v>#DIV/0!</v>
      </c>
      <c r="F46" s="325" t="e">
        <f t="shared" si="14"/>
        <v>#DIV/0!</v>
      </c>
      <c r="G46" s="325" t="e">
        <f t="shared" si="14"/>
        <v>#DIV/0!</v>
      </c>
      <c r="J46" s="329"/>
      <c r="K46" s="338"/>
      <c r="L46" s="329"/>
      <c r="M46" s="338"/>
      <c r="O46" s="333">
        <f t="shared" si="0"/>
        <v>30</v>
      </c>
      <c r="Q46" s="334">
        <f>'Meteorological data'!G46</f>
        <v>0</v>
      </c>
      <c r="R46" s="335">
        <v>0</v>
      </c>
      <c r="S46" s="336">
        <f>R46*((24-HP!$B$30)/24)</f>
        <v>0</v>
      </c>
      <c r="U46" s="336">
        <f t="shared" si="2"/>
        <v>0</v>
      </c>
      <c r="V46" s="336">
        <f>IF(HP!$N$12=TRUE,(T46+U46),T46)</f>
        <v>0</v>
      </c>
      <c r="W46" s="325" t="s">
        <v>206</v>
      </c>
    </row>
    <row r="47" spans="1:30">
      <c r="A47" s="322" t="s">
        <v>1515</v>
      </c>
      <c r="B47" s="322" t="s">
        <v>1516</v>
      </c>
      <c r="C47" s="325">
        <f>HP!B4/1000</f>
        <v>2.7509249304736603</v>
      </c>
      <c r="D47" s="325" t="s">
        <v>1386</v>
      </c>
      <c r="E47" s="325"/>
      <c r="F47" s="325"/>
      <c r="G47" s="325"/>
      <c r="I47" s="323" t="s">
        <v>1517</v>
      </c>
      <c r="J47" s="346">
        <f>C43/C47</f>
        <v>0</v>
      </c>
      <c r="K47" s="329"/>
      <c r="L47" s="329"/>
      <c r="M47" s="329"/>
      <c r="N47" s="323"/>
      <c r="O47" s="333">
        <f t="shared" si="0"/>
        <v>31</v>
      </c>
      <c r="Q47" s="334">
        <f>'Meteorological data'!G47</f>
        <v>0</v>
      </c>
      <c r="R47" s="335">
        <v>0</v>
      </c>
      <c r="S47" s="336">
        <f>R47*((24-HP!$B$30)/24)</f>
        <v>0</v>
      </c>
      <c r="U47" s="336">
        <f t="shared" si="2"/>
        <v>0</v>
      </c>
      <c r="V47" s="336">
        <f>IF(HP!$N$12=TRUE,(T47+U47),T47)</f>
        <v>0</v>
      </c>
      <c r="W47" s="325" t="s">
        <v>206</v>
      </c>
    </row>
    <row r="48" spans="1:30">
      <c r="A48" s="322" t="s">
        <v>1518</v>
      </c>
      <c r="B48" s="322" t="s">
        <v>1519</v>
      </c>
      <c r="C48" s="325">
        <f>HP!B25-HP!B28</f>
        <v>10</v>
      </c>
      <c r="D48" s="325"/>
      <c r="E48" s="325"/>
      <c r="F48" s="325"/>
      <c r="G48" s="325"/>
      <c r="J48" s="329"/>
      <c r="K48" s="338"/>
      <c r="L48" s="329"/>
      <c r="M48" s="338"/>
      <c r="O48" s="333">
        <f t="shared" si="0"/>
        <v>32</v>
      </c>
      <c r="Q48" s="334">
        <f>'Meteorological data'!G48</f>
        <v>0</v>
      </c>
      <c r="R48" s="335">
        <v>0</v>
      </c>
      <c r="S48" s="336">
        <f>R48*((24-HP!$B$30)/24)</f>
        <v>0</v>
      </c>
      <c r="U48" s="336">
        <f t="shared" si="2"/>
        <v>0</v>
      </c>
      <c r="V48" s="336">
        <f>IF(HP!$N$12=TRUE,(T48+U48),T48)</f>
        <v>0</v>
      </c>
      <c r="W48" s="325" t="s">
        <v>206</v>
      </c>
    </row>
    <row r="49" spans="1:23">
      <c r="A49" s="322" t="s">
        <v>1520</v>
      </c>
      <c r="B49" s="322" t="s">
        <v>1510</v>
      </c>
      <c r="C49" s="325">
        <f>C47/(C48*4.182)</f>
        <v>6.5780127462306548E-2</v>
      </c>
      <c r="J49" s="329"/>
      <c r="K49" s="328"/>
      <c r="L49" s="329"/>
      <c r="M49" s="328"/>
      <c r="O49" s="333">
        <f t="shared" si="0"/>
        <v>33</v>
      </c>
      <c r="Q49" s="334">
        <f>'Meteorological data'!G49</f>
        <v>0</v>
      </c>
      <c r="R49" s="335">
        <v>0</v>
      </c>
      <c r="S49" s="336">
        <f>R49*((24-HP!$B$30)/24)</f>
        <v>0</v>
      </c>
      <c r="U49" s="336">
        <f t="shared" si="2"/>
        <v>0</v>
      </c>
      <c r="V49" s="336">
        <f>IF(HP!$N$12=TRUE,(T49+U49),T49)</f>
        <v>0</v>
      </c>
      <c r="W49" s="325" t="s">
        <v>206</v>
      </c>
    </row>
    <row r="50" spans="1:23">
      <c r="A50" s="322" t="s">
        <v>1521</v>
      </c>
      <c r="B50" s="322" t="s">
        <v>1513</v>
      </c>
      <c r="C50" s="325">
        <f>C35/($C$49*4.182)</f>
        <v>0</v>
      </c>
      <c r="D50" s="325">
        <f t="shared" ref="D50:G51" si="15">D35/($C$49*4.182)</f>
        <v>0</v>
      </c>
      <c r="E50" s="325">
        <f t="shared" si="15"/>
        <v>0</v>
      </c>
      <c r="F50" s="325">
        <f t="shared" si="15"/>
        <v>0</v>
      </c>
      <c r="G50" s="325">
        <f t="shared" si="15"/>
        <v>0</v>
      </c>
      <c r="J50" s="329"/>
      <c r="K50" s="338"/>
      <c r="L50" s="329"/>
      <c r="M50" s="338"/>
      <c r="O50" s="333">
        <f t="shared" si="0"/>
        <v>34</v>
      </c>
      <c r="Q50" s="334">
        <f>'Meteorological data'!G50</f>
        <v>0</v>
      </c>
      <c r="R50" s="335">
        <v>0</v>
      </c>
      <c r="S50" s="336">
        <f>R50*((24-HP!$B$30)/24)</f>
        <v>0</v>
      </c>
      <c r="U50" s="336">
        <f t="shared" si="2"/>
        <v>0</v>
      </c>
      <c r="V50" s="336">
        <f>IF(HP!$N$12=TRUE,(T50+U50),T50)</f>
        <v>0</v>
      </c>
      <c r="W50" s="325" t="s">
        <v>206</v>
      </c>
    </row>
    <row r="51" spans="1:23">
      <c r="A51" s="322" t="s">
        <v>1522</v>
      </c>
      <c r="B51" s="322" t="s">
        <v>1513</v>
      </c>
      <c r="C51" s="325">
        <f>C36/($C$49*4.182)</f>
        <v>0</v>
      </c>
      <c r="D51" s="325">
        <f t="shared" si="15"/>
        <v>0</v>
      </c>
      <c r="E51" s="325">
        <f t="shared" si="15"/>
        <v>0</v>
      </c>
      <c r="F51" s="325">
        <f t="shared" si="15"/>
        <v>0</v>
      </c>
      <c r="G51" s="325">
        <f t="shared" si="15"/>
        <v>0</v>
      </c>
      <c r="J51" s="329"/>
      <c r="K51" s="338"/>
      <c r="L51" s="329"/>
      <c r="M51" s="338"/>
      <c r="O51" s="333">
        <f t="shared" si="0"/>
        <v>35</v>
      </c>
      <c r="Q51" s="334">
        <f>'Meteorological data'!G51</f>
        <v>0</v>
      </c>
      <c r="R51" s="335">
        <v>0</v>
      </c>
      <c r="S51" s="336">
        <f>R51*((24-HP!$B$30)/24)</f>
        <v>0</v>
      </c>
      <c r="U51" s="336">
        <f t="shared" si="2"/>
        <v>0</v>
      </c>
      <c r="V51" s="336">
        <f>IF(HP!$N$12=TRUE,(T51+U51),T51)</f>
        <v>0</v>
      </c>
      <c r="W51" s="325" t="s">
        <v>206</v>
      </c>
    </row>
    <row r="52" spans="1:23">
      <c r="A52" s="322" t="s">
        <v>1523</v>
      </c>
      <c r="B52" s="322" t="s">
        <v>1524</v>
      </c>
      <c r="C52" s="325" t="e">
        <f>1-((C45-C50)/2)/((273.15+C31)-C45/2+5-(273.15+C38-5))</f>
        <v>#DIV/0!</v>
      </c>
      <c r="D52" s="325" t="e">
        <f>1-((D45-D50)/2)/((273.15+D31)-D45/2+5-(273.15+D38-5))</f>
        <v>#DIV/0!</v>
      </c>
      <c r="E52" s="325" t="e">
        <f>1-((E45-E50)/2)/((273.15+E31)-E45/2+5-(273.15+E38-5))</f>
        <v>#DIV/0!</v>
      </c>
      <c r="F52" s="325" t="e">
        <f>1-((F45-F50)/2)/((273.15+F31)-F45/2+5-(273.15+F38-5))</f>
        <v>#DIV/0!</v>
      </c>
      <c r="G52" s="325" t="e">
        <f>1-((G45-G50)/2)/((273.15+G31)-G45/2+5-(273.15+G38-5))</f>
        <v>#DIV/0!</v>
      </c>
      <c r="J52" s="329"/>
      <c r="K52" s="338"/>
      <c r="L52" s="329"/>
      <c r="M52" s="338"/>
      <c r="Q52" s="334"/>
      <c r="R52" s="334"/>
      <c r="S52" s="334"/>
      <c r="U52" s="336"/>
      <c r="V52" s="336"/>
      <c r="W52" s="325"/>
    </row>
    <row r="53" spans="1:23">
      <c r="A53" s="322" t="s">
        <v>1525</v>
      </c>
      <c r="B53" s="322" t="s">
        <v>1524</v>
      </c>
      <c r="C53" s="325" t="e">
        <f>1-((C46-C51)/2)/((273.15+C32)-C46/2+5-(273.15+C38-5))</f>
        <v>#DIV/0!</v>
      </c>
      <c r="D53" s="325" t="e">
        <f>1-((D46-D51)/2)/((273.15+D32)-D46/2+5-(273.15+D38-5))</f>
        <v>#DIV/0!</v>
      </c>
      <c r="E53" s="325" t="e">
        <f>1-((E46-E51)/2)/((273.15+E32)-E46/2+5-(273.15+E38-5))</f>
        <v>#DIV/0!</v>
      </c>
      <c r="F53" s="325" t="e">
        <f>1-((F46-F51)/2)/((273.15+F32)-F46/2+5-(273.15+F38-5))</f>
        <v>#DIV/0!</v>
      </c>
      <c r="G53" s="325" t="e">
        <f>1-((G46-G51)/2)/((273.15+G32)-G46/2+5-(273.15+G38-5))</f>
        <v>#DIV/0!</v>
      </c>
      <c r="J53" s="329"/>
      <c r="K53" s="338"/>
      <c r="L53" s="329"/>
      <c r="M53" s="338"/>
    </row>
    <row r="54" spans="1:23">
      <c r="A54" s="322" t="s">
        <v>1526</v>
      </c>
      <c r="B54" s="322" t="s">
        <v>1524</v>
      </c>
      <c r="C54" s="336" t="e">
        <f>C33*C52</f>
        <v>#DIV/0!</v>
      </c>
      <c r="D54" s="336" t="e">
        <f>D33*D52</f>
        <v>#DIV/0!</v>
      </c>
      <c r="E54" s="336" t="e">
        <f t="shared" ref="D54:G55" si="16">E33*E52</f>
        <v>#DIV/0!</v>
      </c>
      <c r="F54" s="336" t="e">
        <f t="shared" si="16"/>
        <v>#DIV/0!</v>
      </c>
      <c r="G54" s="336" t="e">
        <f t="shared" si="16"/>
        <v>#DIV/0!</v>
      </c>
      <c r="J54" s="329"/>
      <c r="K54" s="338"/>
      <c r="L54" s="329"/>
      <c r="M54" s="338"/>
    </row>
    <row r="55" spans="1:23">
      <c r="A55" s="322" t="s">
        <v>1527</v>
      </c>
      <c r="B55" s="322" t="s">
        <v>1524</v>
      </c>
      <c r="C55" s="325" t="e">
        <f>C34*C53</f>
        <v>#DIV/0!</v>
      </c>
      <c r="D55" s="325" t="e">
        <f t="shared" si="16"/>
        <v>#DIV/0!</v>
      </c>
      <c r="E55" s="325" t="e">
        <f t="shared" si="16"/>
        <v>#DIV/0!</v>
      </c>
      <c r="F55" s="325" t="e">
        <f t="shared" si="16"/>
        <v>#DIV/0!</v>
      </c>
      <c r="G55" s="325" t="e">
        <f>G34*G53</f>
        <v>#DIV/0!</v>
      </c>
      <c r="J55" s="329"/>
      <c r="K55" s="338"/>
      <c r="L55" s="329"/>
      <c r="M55" s="338"/>
    </row>
    <row r="56" spans="1:23" ht="162.5">
      <c r="A56" s="322" t="s">
        <v>1528</v>
      </c>
      <c r="B56" s="331" t="s">
        <v>1529</v>
      </c>
      <c r="C56" s="325" t="e">
        <f>MAX(0.5,IF($C$29="Error",IF(HP!B13="Fixed Outlet",C54,C54*(((273.15+C37)*(C31-C6))/((273.15+C31)*(C37-C38)))),((C55-C54)/(C32-C31))*(C39-C31)+C54))</f>
        <v>#DIV/0!</v>
      </c>
      <c r="D56" s="325" t="e">
        <f>MAX(0.5,IF($C$29="Error",IF(HP!B13="Fixed Outlet",D54,D54*(((273.15+D37)*(D31-D6))/((273.15+D31)*(D37-D38)))),((D55-D54)/(D32-D31))*(D39-D31)+D54))</f>
        <v>#DIV/0!</v>
      </c>
      <c r="E56" s="325" t="e">
        <f>MAX(0.5,IF($C$29="Error",IF(HP!B13="Fixed Outlet",E54,E54*(((273.15+E37)*(E31-E6))/((273.15+E31)*(E37-E38)))),((E55-E54)/(E32-E31))*(E39-E31)+E54))</f>
        <v>#DIV/0!</v>
      </c>
      <c r="F56" s="325" t="e">
        <f>MAX(0.5,IF($C$29="Error",IF(HP!B13="Fixed Outlet",F54,F54*(((273.15+F37)*(F31-F6))/((273.15+F31)*(F37-F38)))),((F55-F54)/(F32-F31))*(F39-F31)+F54))</f>
        <v>#DIV/0!</v>
      </c>
      <c r="G56" s="325" t="e">
        <f>MAX(0.5,IF($C$29="Error",IF(HP!B13="Fixed Outlet",G54,G54*(((273.15+G37)*(G31-G6))/((273.15+G31)*(G37-G38)))),((G55-G54)/(G32-G31))*(G39-G31)+G54))</f>
        <v>#DIV/0!</v>
      </c>
      <c r="H56" s="325" t="s">
        <v>206</v>
      </c>
      <c r="I56" s="331" t="s">
        <v>1530</v>
      </c>
      <c r="J56" s="329" t="s">
        <v>206</v>
      </c>
      <c r="K56" s="338"/>
      <c r="L56" s="329"/>
      <c r="M56" s="338"/>
    </row>
    <row r="57" spans="1:23" ht="36" customHeight="1">
      <c r="A57" s="323" t="s">
        <v>206</v>
      </c>
      <c r="B57" s="323" t="s">
        <v>206</v>
      </c>
      <c r="C57" s="323" t="s">
        <v>206</v>
      </c>
      <c r="D57" s="323" t="s">
        <v>206</v>
      </c>
      <c r="E57" s="323" t="s">
        <v>206</v>
      </c>
      <c r="F57" s="323" t="s">
        <v>206</v>
      </c>
      <c r="G57" s="323" t="s">
        <v>206</v>
      </c>
      <c r="H57" s="323" t="s">
        <v>206</v>
      </c>
      <c r="J57" s="329"/>
      <c r="K57" s="338"/>
      <c r="L57" s="329"/>
      <c r="M57" s="338"/>
    </row>
    <row r="58" spans="1:23">
      <c r="A58" s="322" t="s">
        <v>1531</v>
      </c>
      <c r="C58" s="322" t="s">
        <v>1532</v>
      </c>
      <c r="J58" s="329"/>
      <c r="K58" s="338"/>
      <c r="L58" s="329"/>
      <c r="M58" s="338"/>
    </row>
    <row r="59" spans="1:23">
      <c r="J59" s="329"/>
      <c r="K59" s="338"/>
      <c r="L59" s="329"/>
      <c r="M59" s="338"/>
    </row>
    <row r="60" spans="1:23">
      <c r="A60" s="322" t="s">
        <v>1533</v>
      </c>
      <c r="B60" s="322" t="s">
        <v>562</v>
      </c>
      <c r="C60" s="325">
        <f>C8</f>
        <v>0</v>
      </c>
      <c r="D60" s="325">
        <f>D8</f>
        <v>16.594129731363701</v>
      </c>
      <c r="E60" s="325">
        <f>E8</f>
        <v>851.81512892369096</v>
      </c>
      <c r="F60" s="325">
        <f>F8</f>
        <v>1305.9782466018983</v>
      </c>
      <c r="G60" s="325">
        <f>G8</f>
        <v>646.76632465168768</v>
      </c>
      <c r="H60" s="325">
        <f>SUM(C60:G60)</f>
        <v>2821.1538299086405</v>
      </c>
      <c r="J60" s="329"/>
      <c r="K60" s="338"/>
      <c r="L60" s="329"/>
      <c r="M60" s="338"/>
    </row>
    <row r="61" spans="1:23" ht="25">
      <c r="A61" s="330" t="s">
        <v>1534</v>
      </c>
      <c r="B61" s="322" t="s">
        <v>562</v>
      </c>
      <c r="C61" s="336" t="e">
        <f>SUM(AC4:AC7)</f>
        <v>#DIV/0!</v>
      </c>
      <c r="D61" s="336" t="e">
        <f>SUM(AC8:AC13)</f>
        <v>#DIV/0!</v>
      </c>
      <c r="E61" s="336" t="e">
        <f>SUM(AC14:AC20)</f>
        <v>#DIV/0!</v>
      </c>
      <c r="F61" s="336" t="e">
        <f>SUM(AC21:AC25)</f>
        <v>#DIV/0!</v>
      </c>
      <c r="G61" s="336" t="e">
        <f>SUM(AC26:AC31)</f>
        <v>#DIV/0!</v>
      </c>
      <c r="J61" s="329"/>
      <c r="K61" s="338"/>
      <c r="L61" s="329"/>
      <c r="M61" s="338"/>
      <c r="N61" s="323"/>
    </row>
    <row r="62" spans="1:23" ht="62.5">
      <c r="A62" s="330" t="s">
        <v>1535</v>
      </c>
      <c r="B62" s="322" t="s">
        <v>562</v>
      </c>
      <c r="C62" s="322" t="e">
        <f>C61/HP!$B$36</f>
        <v>#DIV/0!</v>
      </c>
      <c r="D62" s="336" t="e">
        <f>D61/HP!$B$36</f>
        <v>#DIV/0!</v>
      </c>
      <c r="E62" s="336" t="e">
        <f>E61/HP!$B$36</f>
        <v>#DIV/0!</v>
      </c>
      <c r="F62" s="322" t="e">
        <f>F61/HP!$B$36</f>
        <v>#DIV/0!</v>
      </c>
      <c r="G62" s="322" t="e">
        <f>G61/HP!$B$36</f>
        <v>#DIV/0!</v>
      </c>
      <c r="H62" s="322" t="e">
        <f>SUM(C62:G62)</f>
        <v>#DIV/0!</v>
      </c>
      <c r="I62" s="330" t="s">
        <v>1536</v>
      </c>
      <c r="J62" s="329"/>
      <c r="K62" s="338"/>
      <c r="L62" s="329"/>
      <c r="M62" s="338"/>
    </row>
    <row r="63" spans="1:23">
      <c r="A63" s="322" t="s">
        <v>1537</v>
      </c>
      <c r="J63" s="329"/>
      <c r="K63" s="338"/>
      <c r="L63" s="329"/>
      <c r="M63" s="338"/>
    </row>
    <row r="64" spans="1:23">
      <c r="A64" s="322" t="s">
        <v>1538</v>
      </c>
      <c r="J64" s="329"/>
      <c r="K64" s="338"/>
      <c r="L64" s="329"/>
      <c r="M64" s="338"/>
    </row>
    <row r="65" spans="1:29">
      <c r="A65" s="322" t="s">
        <v>1539</v>
      </c>
      <c r="J65" s="329"/>
      <c r="K65" s="338"/>
      <c r="L65" s="329"/>
      <c r="M65" s="338"/>
    </row>
    <row r="66" spans="1:29">
      <c r="J66" s="329"/>
      <c r="K66" s="338"/>
      <c r="L66" s="329"/>
      <c r="M66" s="338"/>
    </row>
    <row r="67" spans="1:29" ht="25">
      <c r="A67" s="330" t="s">
        <v>1540</v>
      </c>
      <c r="B67" s="322" t="s">
        <v>562</v>
      </c>
      <c r="C67" s="336" t="e">
        <f>(C60-C61)/C56</f>
        <v>#DIV/0!</v>
      </c>
      <c r="D67" s="336" t="e">
        <f>(D60-D61)/D56</f>
        <v>#DIV/0!</v>
      </c>
      <c r="E67" s="336" t="e">
        <f>(E60-E61)/E56</f>
        <v>#DIV/0!</v>
      </c>
      <c r="F67" s="336" t="e">
        <f>(F60-F61)/F56</f>
        <v>#DIV/0!</v>
      </c>
      <c r="G67" s="336" t="e">
        <f>(G60-G61)/G56</f>
        <v>#DIV/0!</v>
      </c>
      <c r="H67" s="336" t="e">
        <f>SUM(C67:G67)</f>
        <v>#DIV/0!</v>
      </c>
      <c r="J67" s="329"/>
      <c r="K67" s="338"/>
      <c r="L67" s="329"/>
      <c r="M67" s="338"/>
    </row>
    <row r="68" spans="1:29">
      <c r="J68" s="329"/>
      <c r="K68" s="338"/>
      <c r="L68" s="329"/>
      <c r="M68" s="338"/>
    </row>
    <row r="69" spans="1:29">
      <c r="A69" s="322" t="s">
        <v>1541</v>
      </c>
      <c r="B69" s="322" t="s">
        <v>562</v>
      </c>
      <c r="C69" s="336" t="e">
        <f>C62+C67</f>
        <v>#DIV/0!</v>
      </c>
      <c r="D69" s="336" t="e">
        <f>D62+D67</f>
        <v>#DIV/0!</v>
      </c>
      <c r="E69" s="336" t="e">
        <f>E62+E67</f>
        <v>#DIV/0!</v>
      </c>
      <c r="F69" s="336" t="e">
        <f>F62+F67</f>
        <v>#DIV/0!</v>
      </c>
      <c r="G69" s="336" t="e">
        <f>G62+G67</f>
        <v>#DIV/0!</v>
      </c>
      <c r="H69" s="336" t="e">
        <f>SUM(C69:G69)</f>
        <v>#DIV/0!</v>
      </c>
      <c r="J69" s="329"/>
      <c r="K69" s="338"/>
      <c r="L69" s="329"/>
      <c r="M69" s="338"/>
    </row>
    <row r="70" spans="1:29">
      <c r="J70" s="329"/>
      <c r="K70" s="338"/>
      <c r="L70" s="329"/>
      <c r="M70" s="338"/>
    </row>
    <row r="71" spans="1:29" ht="13">
      <c r="A71" s="322" t="s">
        <v>1542</v>
      </c>
      <c r="H71" s="347" t="e">
        <f>H60/H69</f>
        <v>#DIV/0!</v>
      </c>
      <c r="J71" s="329"/>
      <c r="K71" s="338"/>
      <c r="L71" s="329"/>
      <c r="M71" s="338"/>
    </row>
    <row r="72" spans="1:29">
      <c r="J72" s="329"/>
      <c r="K72" s="338"/>
      <c r="L72" s="329"/>
      <c r="M72" s="338"/>
    </row>
    <row r="73" spans="1:29" s="550" customFormat="1">
      <c r="A73" s="550" t="s">
        <v>1543</v>
      </c>
      <c r="H73" s="550" t="e">
        <f>IF(H71&gt;2.5,(H71-2.5)*H69,0)</f>
        <v>#DIV/0!</v>
      </c>
      <c r="I73" s="550" t="s">
        <v>562</v>
      </c>
      <c r="J73" s="551"/>
      <c r="K73" s="552"/>
      <c r="L73" s="551"/>
      <c r="M73" s="552"/>
      <c r="AC73" s="553"/>
    </row>
    <row r="74" spans="1:29">
      <c r="J74" s="329"/>
      <c r="K74" s="338"/>
      <c r="L74" s="329"/>
      <c r="M74" s="338"/>
    </row>
    <row r="75" spans="1:29">
      <c r="A75" s="322" t="s">
        <v>1415</v>
      </c>
      <c r="B75" s="322" t="s">
        <v>562</v>
      </c>
      <c r="C75" s="325" t="e">
        <f>C60-C61</f>
        <v>#DIV/0!</v>
      </c>
      <c r="D75" s="325" t="e">
        <f>D60-D61</f>
        <v>#DIV/0!</v>
      </c>
      <c r="E75" s="325" t="e">
        <f>E60-E61</f>
        <v>#DIV/0!</v>
      </c>
      <c r="F75" s="325" t="e">
        <f>F60-F61</f>
        <v>#DIV/0!</v>
      </c>
      <c r="G75" s="325" t="e">
        <f>G60-G61</f>
        <v>#DIV/0!</v>
      </c>
      <c r="H75" s="325" t="e">
        <f>SUM(C75:G75)</f>
        <v>#DIV/0!</v>
      </c>
      <c r="J75" s="329"/>
      <c r="K75" s="338"/>
      <c r="L75" s="329"/>
      <c r="M75" s="338"/>
      <c r="N75" s="330"/>
    </row>
    <row r="76" spans="1:29">
      <c r="J76" s="329"/>
      <c r="K76" s="338"/>
      <c r="L76" s="329"/>
      <c r="M76" s="338"/>
    </row>
    <row r="77" spans="1:29">
      <c r="A77" s="322" t="s">
        <v>1544</v>
      </c>
      <c r="H77" s="348" t="e">
        <f>H75/H67</f>
        <v>#DIV/0!</v>
      </c>
      <c r="J77" s="329"/>
      <c r="K77" s="338"/>
      <c r="L77" s="329"/>
      <c r="M77" s="338"/>
    </row>
    <row r="78" spans="1:29">
      <c r="J78" s="329"/>
      <c r="K78" s="338"/>
      <c r="L78" s="329"/>
      <c r="M78" s="338"/>
    </row>
    <row r="79" spans="1:29">
      <c r="A79" s="322" t="s">
        <v>1545</v>
      </c>
      <c r="C79" s="5" t="e">
        <f>(C60-C61)-C67</f>
        <v>#DIV/0!</v>
      </c>
      <c r="D79" s="5" t="e">
        <f t="shared" ref="D79:H79" si="17">(D60-D61)-D67</f>
        <v>#DIV/0!</v>
      </c>
      <c r="E79" s="5" t="e">
        <f t="shared" si="17"/>
        <v>#DIV/0!</v>
      </c>
      <c r="F79" s="5" t="e">
        <f t="shared" si="17"/>
        <v>#DIV/0!</v>
      </c>
      <c r="G79" s="5" t="e">
        <f>(G60-G61)-G67</f>
        <v>#DIV/0!</v>
      </c>
      <c r="H79" s="5" t="e">
        <f t="shared" si="17"/>
        <v>#DIV/0!</v>
      </c>
      <c r="I79" s="322" t="s">
        <v>562</v>
      </c>
      <c r="J79" s="329"/>
      <c r="K79" s="338"/>
      <c r="L79" s="329"/>
      <c r="M79" s="338"/>
      <c r="N79" s="323"/>
    </row>
    <row r="80" spans="1:29">
      <c r="A80" t="s">
        <v>1546</v>
      </c>
      <c r="B80"/>
      <c r="C80" s="359" t="e">
        <f>(C41*(1-1/C56)-(Vent!$G$32*1.2/3600)*(20-(C3)))/('Heating Calc'!C41*(1-1/'Heating Calc'!C56))</f>
        <v>#DIV/0!</v>
      </c>
      <c r="D80" s="359" t="e">
        <f>(D41*(1-1/D56)-(Vent!$G$32*1.2/3600)*(20-(D3)))/('Heating Calc'!D41*(1-1/'Heating Calc'!D56))</f>
        <v>#DIV/0!</v>
      </c>
      <c r="E80" s="359" t="e">
        <f>(E41*(1-1/E56)-(Vent!$G$32*1.2/3600)*(20-(E3)))/('Heating Calc'!E41*(1-1/'Heating Calc'!E56))</f>
        <v>#DIV/0!</v>
      </c>
      <c r="F80" s="359" t="e">
        <f>(F41*(1-1/F56)-(Vent!$G$32*1.2/3600)*(20-(F3)))/('Heating Calc'!F41*(1-1/'Heating Calc'!F56))</f>
        <v>#DIV/0!</v>
      </c>
      <c r="G80" s="359" t="e">
        <f>(G41*(1-1/G56)-(Vent!$G$32*1.2/3600)*(20-(G3)))/('Heating Calc'!G41*(1-1/'Heating Calc'!G56))</f>
        <v>#DIV/0!</v>
      </c>
      <c r="J80" s="329"/>
      <c r="K80" s="338"/>
      <c r="L80" s="329"/>
      <c r="M80" s="338"/>
    </row>
    <row r="81" spans="1:14">
      <c r="J81" s="329"/>
      <c r="K81" s="338"/>
      <c r="L81" s="329"/>
      <c r="M81" s="338"/>
    </row>
    <row r="82" spans="1:14">
      <c r="A82" s="323" t="s">
        <v>1547</v>
      </c>
      <c r="C82" t="e">
        <f>C79*C80</f>
        <v>#DIV/0!</v>
      </c>
      <c r="D82" t="e">
        <f t="shared" ref="D82:G82" si="18">D79*D80</f>
        <v>#DIV/0!</v>
      </c>
      <c r="E82" t="e">
        <f t="shared" si="18"/>
        <v>#DIV/0!</v>
      </c>
      <c r="F82" t="e">
        <f t="shared" si="18"/>
        <v>#DIV/0!</v>
      </c>
      <c r="G82" t="e">
        <f t="shared" si="18"/>
        <v>#DIV/0!</v>
      </c>
      <c r="H82" s="360" t="e">
        <f>SUM(C82:G82)</f>
        <v>#DIV/0!</v>
      </c>
      <c r="I82" s="322" t="s">
        <v>1548</v>
      </c>
      <c r="J82" s="329"/>
      <c r="K82" s="338"/>
      <c r="L82" s="329"/>
      <c r="M82" s="338"/>
      <c r="N82" s="323"/>
    </row>
    <row r="83" spans="1:14">
      <c r="J83" s="330"/>
    </row>
    <row r="84" spans="1:14">
      <c r="J84" s="330"/>
    </row>
    <row r="85" spans="1:14">
      <c r="H85" s="488" t="e">
        <f>H82/H79</f>
        <v>#DIV/0!</v>
      </c>
      <c r="I85" s="322" t="s">
        <v>1549</v>
      </c>
      <c r="J85" s="330"/>
    </row>
    <row r="86" spans="1:14">
      <c r="J86" s="330"/>
    </row>
    <row r="87" spans="1:14">
      <c r="J87" s="330"/>
    </row>
    <row r="88" spans="1:14">
      <c r="J88" s="330"/>
    </row>
    <row r="89" spans="1:14">
      <c r="J89" s="330"/>
    </row>
    <row r="90" spans="1:14">
      <c r="J90" s="330"/>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796875" defaultRowHeight="12.5"/>
  <cols>
    <col min="1" max="1" width="35.54296875" customWidth="1"/>
    <col min="12" max="12" width="23" bestFit="1" customWidth="1"/>
    <col min="13" max="13" width="18.453125" customWidth="1"/>
    <col min="16" max="16" width="13.54296875" customWidth="1"/>
  </cols>
  <sheetData>
    <row r="1" spans="1:22" ht="15.5">
      <c r="A1" t="s">
        <v>206</v>
      </c>
      <c r="M1" s="222"/>
      <c r="N1" s="222"/>
      <c r="P1" t="s">
        <v>1550</v>
      </c>
    </row>
    <row r="2" spans="1:22" ht="15.5">
      <c r="A2" s="3" t="s">
        <v>1551</v>
      </c>
      <c r="M2" s="222"/>
      <c r="P2" t="s">
        <v>1552</v>
      </c>
      <c r="Q2" t="s">
        <v>1389</v>
      </c>
      <c r="S2" s="115" t="s">
        <v>1553</v>
      </c>
      <c r="T2" s="115" t="s">
        <v>1554</v>
      </c>
      <c r="U2" t="s">
        <v>1555</v>
      </c>
      <c r="V2" t="s">
        <v>1556</v>
      </c>
    </row>
    <row r="3" spans="1:22" ht="15.5">
      <c r="A3" t="s">
        <v>1557</v>
      </c>
      <c r="B3">
        <f>HP!B89</f>
        <v>0</v>
      </c>
      <c r="E3" t="s">
        <v>1558</v>
      </c>
      <c r="M3" s="222"/>
      <c r="P3" t="s">
        <v>1235</v>
      </c>
      <c r="Q3">
        <v>0.34499999999999997</v>
      </c>
      <c r="R3">
        <v>7</v>
      </c>
      <c r="S3" s="349" t="s">
        <v>206</v>
      </c>
      <c r="T3" s="349" t="s">
        <v>206</v>
      </c>
      <c r="U3" s="115">
        <f>IF(HP!B5="Yes",0,IF($B$6=P3,IF($B$3&gt;R3,1,0),0))</f>
        <v>0</v>
      </c>
      <c r="V3" s="115">
        <f>IF(HP!B5="Yes",0,IF($B$6=P3,IF(HP!$B$73&gt;R3,1,0),0))</f>
        <v>0</v>
      </c>
    </row>
    <row r="4" spans="1:22" ht="15.5">
      <c r="A4" t="s">
        <v>1559</v>
      </c>
      <c r="B4">
        <f>HP!B72</f>
        <v>65</v>
      </c>
      <c r="C4" t="s">
        <v>1560</v>
      </c>
      <c r="M4" s="222"/>
      <c r="P4" t="s">
        <v>1249</v>
      </c>
      <c r="Q4">
        <v>2.1</v>
      </c>
      <c r="R4">
        <v>15</v>
      </c>
      <c r="S4" s="349" t="s">
        <v>206</v>
      </c>
      <c r="T4" s="349" t="s">
        <v>206</v>
      </c>
      <c r="U4" s="115">
        <f>IF(HP!B5="Yes",0,IF($B$6=P4,IF($B$3&gt;R4,1,0),0))</f>
        <v>0</v>
      </c>
      <c r="V4" s="115">
        <f>IF(HP!B5="Yes",0,IF($B$6=P4,IF(HP!$B$73&gt;R4,1,0),0))</f>
        <v>0</v>
      </c>
    </row>
    <row r="5" spans="1:22">
      <c r="A5" t="s">
        <v>1561</v>
      </c>
      <c r="B5">
        <f>HP!B88</f>
        <v>0</v>
      </c>
      <c r="C5" t="s">
        <v>1389</v>
      </c>
      <c r="E5" t="s">
        <v>1558</v>
      </c>
      <c r="P5" t="s">
        <v>1260</v>
      </c>
      <c r="Q5">
        <v>2.1</v>
      </c>
      <c r="R5">
        <v>15</v>
      </c>
      <c r="S5" s="349" t="s">
        <v>206</v>
      </c>
      <c r="T5" s="349" t="s">
        <v>206</v>
      </c>
      <c r="U5" s="115">
        <f>IF(HP!B5="Yes",0,IF($B$6=P5,IF($B$3&gt;R5,1,0),0))</f>
        <v>0</v>
      </c>
      <c r="V5" s="115">
        <f>IF(HP!B5="Yes",0,IF($B$6=P5,IF(HP!$B$73&gt;R5,1,0),0))</f>
        <v>0</v>
      </c>
    </row>
    <row r="6" spans="1:22">
      <c r="A6" t="s">
        <v>1388</v>
      </c>
      <c r="B6" t="str">
        <f>HP!B87</f>
        <v>M</v>
      </c>
      <c r="P6" t="s">
        <v>1269</v>
      </c>
      <c r="Q6">
        <v>2.1</v>
      </c>
      <c r="R6">
        <v>36</v>
      </c>
      <c r="S6" s="349" t="s">
        <v>206</v>
      </c>
      <c r="T6" s="349" t="s">
        <v>206</v>
      </c>
      <c r="U6" s="115">
        <f>IF(HP!B5="Yes",0,IF($B$6=P6,IF($B$3&gt;R6,1,0),0))</f>
        <v>0</v>
      </c>
      <c r="V6" s="115">
        <f>IF(HP!B5="Yes",0,IF($B$6=P6,IF(HP!$B$73&gt;R6,1,0),0))</f>
        <v>0</v>
      </c>
    </row>
    <row r="7" spans="1:22">
      <c r="A7" t="s">
        <v>1562</v>
      </c>
      <c r="B7">
        <f>VLOOKUP(B6,P3:R13,3,)</f>
        <v>65</v>
      </c>
      <c r="C7" t="s">
        <v>1392</v>
      </c>
      <c r="E7" t="s">
        <v>206</v>
      </c>
      <c r="G7" s="350" t="s">
        <v>206</v>
      </c>
      <c r="M7" s="115"/>
      <c r="P7" t="s">
        <v>1274</v>
      </c>
      <c r="Q7">
        <v>5.8449999999999998</v>
      </c>
      <c r="R7">
        <v>65</v>
      </c>
      <c r="S7" s="5">
        <f>R7/((HP!$B$84-10)/30)</f>
        <v>-195</v>
      </c>
      <c r="T7" s="5">
        <f t="shared" ref="T7:T12" si="0">R7/((60-10)/30)</f>
        <v>39</v>
      </c>
      <c r="U7" s="115">
        <f>IF(HP!B5="Yes",0,IF($B$6=P7,IF($B$3&lt;S7,1,0),0))</f>
        <v>0</v>
      </c>
      <c r="V7" s="115">
        <f>IF(HP!B5="Yes",0,IF($B$6=P7,IF(HP!$B$73&lt;T7,1,0),0))</f>
        <v>0</v>
      </c>
    </row>
    <row r="8" spans="1:22">
      <c r="A8" t="s">
        <v>1563</v>
      </c>
      <c r="B8">
        <f>VLOOKUP(B6,P3:Q13,2,)</f>
        <v>5.8449999999999998</v>
      </c>
      <c r="C8" t="s">
        <v>1389</v>
      </c>
      <c r="E8" t="s">
        <v>1564</v>
      </c>
      <c r="P8" t="s">
        <v>1278</v>
      </c>
      <c r="Q8">
        <v>11.654999999999999</v>
      </c>
      <c r="R8">
        <v>130</v>
      </c>
      <c r="S8" s="5">
        <f>R8/((HP!$B$84-10)/30)</f>
        <v>-390</v>
      </c>
      <c r="T8" s="5">
        <f t="shared" si="0"/>
        <v>78</v>
      </c>
      <c r="U8" s="115">
        <f>IF(HP!B5="Yes",0,IF($B$6=P8,IF($B$3&lt;S8,1,0),0))</f>
        <v>0</v>
      </c>
      <c r="V8" s="115">
        <f>IF(HP!B5="Yes",0,IF($B$6=P8,IF(HP!$B$73&lt;T8,1,0),0))</f>
        <v>0</v>
      </c>
    </row>
    <row r="9" spans="1:22">
      <c r="A9" t="s">
        <v>1565</v>
      </c>
      <c r="B9">
        <f>HP!B83</f>
        <v>0</v>
      </c>
      <c r="P9" t="s">
        <v>1283</v>
      </c>
      <c r="Q9">
        <v>19.07</v>
      </c>
      <c r="R9">
        <v>210</v>
      </c>
      <c r="S9" s="5">
        <f>R9/((HP!$B$84-10)/30)</f>
        <v>-630</v>
      </c>
      <c r="T9" s="5">
        <f t="shared" si="0"/>
        <v>126</v>
      </c>
      <c r="U9" s="115">
        <f>IF(HP!B5="Yes",0,IF($B$6=P9,IF($B$3&lt;S9,1,0),0))</f>
        <v>0</v>
      </c>
      <c r="V9" s="115">
        <f>IF(HP!B5="Yes",0,IF($B$6=P9,IF(HP!$B$73&lt;T9,1,0),0))</f>
        <v>0</v>
      </c>
    </row>
    <row r="10" spans="1:22">
      <c r="A10" t="s">
        <v>71</v>
      </c>
      <c r="B10">
        <f>HP!B86</f>
        <v>0</v>
      </c>
      <c r="C10" t="s">
        <v>1386</v>
      </c>
      <c r="P10" t="s">
        <v>1286</v>
      </c>
      <c r="Q10">
        <v>24.53</v>
      </c>
      <c r="R10">
        <v>300</v>
      </c>
      <c r="S10" s="5">
        <f>R10/((HP!$B$84-10)/30)</f>
        <v>-900</v>
      </c>
      <c r="T10" s="5">
        <f t="shared" si="0"/>
        <v>180</v>
      </c>
      <c r="U10" s="115">
        <f>IF(HP!B5="Yes",0,IF($B$6=P10,IF($B$3&lt;S10,1,0),0))</f>
        <v>0</v>
      </c>
      <c r="V10" s="115">
        <f>IF(HP!B5="Yes",0,IF($B$6=P10,IF(HP!$B$73&lt;T10,1,0),0))</f>
        <v>0</v>
      </c>
    </row>
    <row r="11" spans="1:22">
      <c r="A11" t="s">
        <v>206</v>
      </c>
      <c r="P11" t="s">
        <v>1288</v>
      </c>
      <c r="Q11">
        <v>46.76</v>
      </c>
      <c r="R11">
        <v>520</v>
      </c>
      <c r="S11" s="5">
        <f>R11/((HP!$B$84-10)/30)</f>
        <v>-1560</v>
      </c>
      <c r="T11" s="5">
        <f t="shared" si="0"/>
        <v>312</v>
      </c>
      <c r="U11" s="115">
        <f>IF(HP!B5="Yes",0,IF($B$6=P11,IF($B$3&lt;S11,1,0),0))</f>
        <v>0</v>
      </c>
      <c r="V11" s="115">
        <f>IF(HP!B5="Yes",0,IF($B$6=P11,IF(HP!$B$73&lt;T11,1,0),0))</f>
        <v>0</v>
      </c>
    </row>
    <row r="12" spans="1:22">
      <c r="A12" t="s">
        <v>1566</v>
      </c>
      <c r="B12" s="351">
        <f>B9*(1+B5/B8)</f>
        <v>0</v>
      </c>
      <c r="E12" s="115" t="s">
        <v>1567</v>
      </c>
      <c r="P12" t="s">
        <v>1293</v>
      </c>
      <c r="Q12">
        <v>93.52</v>
      </c>
      <c r="R12">
        <v>1040</v>
      </c>
      <c r="S12" s="5">
        <f>R12/((HP!$B$84-10)/30)</f>
        <v>-3120</v>
      </c>
      <c r="T12" s="5">
        <f t="shared" si="0"/>
        <v>624</v>
      </c>
      <c r="U12" s="115">
        <f>IF(HP!B5="Yes",0,IF($B$6=P12,IF($B$3&lt;S12,1,0),0))</f>
        <v>0</v>
      </c>
      <c r="V12" s="115">
        <f>IF(HP!B5="Yes",0,IF($B$6=P12,IF(HP!$B$73&lt;T12,1,0),0))</f>
        <v>0</v>
      </c>
    </row>
    <row r="13" spans="1:22">
      <c r="P13">
        <v>0</v>
      </c>
    </row>
    <row r="14" spans="1:22" ht="14.5">
      <c r="A14" t="s">
        <v>1568</v>
      </c>
      <c r="B14">
        <f>HP!B84</f>
        <v>0</v>
      </c>
      <c r="C14" s="115" t="s">
        <v>1569</v>
      </c>
      <c r="U14">
        <f>SUM(U3:U13)</f>
        <v>0</v>
      </c>
      <c r="V14">
        <f>SUM(V3:V13)</f>
        <v>0</v>
      </c>
    </row>
    <row r="15" spans="1:22" ht="14.5">
      <c r="A15" t="s">
        <v>1570</v>
      </c>
      <c r="B15">
        <f>HP!B72</f>
        <v>65</v>
      </c>
      <c r="C15" s="115" t="s">
        <v>1569</v>
      </c>
    </row>
    <row r="16" spans="1:22" ht="14.5">
      <c r="A16" t="s">
        <v>1571</v>
      </c>
      <c r="B16">
        <f>HP!B71</f>
        <v>10</v>
      </c>
      <c r="C16" s="115" t="s">
        <v>1569</v>
      </c>
      <c r="M16" s="115"/>
      <c r="P16" t="s">
        <v>206</v>
      </c>
      <c r="U16" s="115" t="s">
        <v>1572</v>
      </c>
      <c r="V16" s="115" t="s">
        <v>1573</v>
      </c>
    </row>
    <row r="17" spans="1:21" ht="25">
      <c r="A17" s="207" t="s">
        <v>1574</v>
      </c>
      <c r="B17" s="5">
        <f>(B15-B14)/(B15-B16)</f>
        <v>1.1818181818181819</v>
      </c>
      <c r="E17" t="s">
        <v>1575</v>
      </c>
    </row>
    <row r="18" spans="1:21">
      <c r="U18" s="207" t="s">
        <v>206</v>
      </c>
    </row>
    <row r="19" spans="1:21">
      <c r="A19" t="s">
        <v>1576</v>
      </c>
      <c r="B19">
        <f>IF(HP!B5="No",HP!B69,((HP!B69*HP!B8)/HP!B7))</f>
        <v>2488.6104499012713</v>
      </c>
      <c r="C19" t="s">
        <v>562</v>
      </c>
    </row>
    <row r="20" spans="1:21">
      <c r="A20" t="s">
        <v>1577</v>
      </c>
      <c r="B20" s="5" t="e">
        <f>B19/B10</f>
        <v>#DIV/0!</v>
      </c>
      <c r="C20" s="115" t="s">
        <v>313</v>
      </c>
      <c r="M20" s="115"/>
    </row>
    <row r="21" spans="1:21">
      <c r="A21" s="115" t="s">
        <v>1578</v>
      </c>
      <c r="B21" s="5">
        <f>8760*((24-HP!$B$30)/24)</f>
        <v>2920</v>
      </c>
      <c r="C21" s="115" t="s">
        <v>313</v>
      </c>
      <c r="E21" t="s">
        <v>1579</v>
      </c>
      <c r="M21" s="115"/>
    </row>
    <row r="22" spans="1:21">
      <c r="A22" t="s">
        <v>1580</v>
      </c>
      <c r="B22" s="5" t="e">
        <f>IF((B20-B21)&lt;0,0,(B20-B21))</f>
        <v>#DIV/0!</v>
      </c>
    </row>
    <row r="23" spans="1:21" ht="25">
      <c r="A23" s="207" t="s">
        <v>1581</v>
      </c>
      <c r="B23" s="5" t="e">
        <f>(B22*B10)/B19</f>
        <v>#DIV/0!</v>
      </c>
      <c r="M23" s="115"/>
    </row>
    <row r="25" spans="1:21">
      <c r="A25" s="115" t="s">
        <v>1582</v>
      </c>
      <c r="B25" s="4" t="e">
        <f>(B19*(1-B17-B23))/B12</f>
        <v>#DIV/0!</v>
      </c>
      <c r="C25" t="s">
        <v>562</v>
      </c>
      <c r="M25" s="115"/>
    </row>
    <row r="26" spans="1:21">
      <c r="A26" t="s">
        <v>1583</v>
      </c>
      <c r="B26" s="4">
        <f>(B19*B17)/HP!B78</f>
        <v>2941.0850771560481</v>
      </c>
      <c r="C26" t="s">
        <v>562</v>
      </c>
      <c r="E26" t="s">
        <v>1584</v>
      </c>
    </row>
    <row r="27" spans="1:21">
      <c r="A27" t="s">
        <v>1585</v>
      </c>
      <c r="B27" s="4" t="e">
        <f>(B19*B23)/HP!B78</f>
        <v>#DIV/0!</v>
      </c>
      <c r="C27" t="s">
        <v>562</v>
      </c>
      <c r="E27" t="s">
        <v>1584</v>
      </c>
    </row>
    <row r="28" spans="1:21">
      <c r="A28" t="s">
        <v>1586</v>
      </c>
      <c r="B28" s="4" t="e">
        <f>SUM(B25:B27)</f>
        <v>#DIV/0!</v>
      </c>
      <c r="C28" t="s">
        <v>562</v>
      </c>
    </row>
    <row r="29" spans="1:21">
      <c r="D29" t="s">
        <v>206</v>
      </c>
    </row>
    <row r="30" spans="1:21">
      <c r="A30" s="115" t="s">
        <v>1587</v>
      </c>
      <c r="B30" s="352" t="e">
        <f>B19/B28</f>
        <v>#DIV/0!</v>
      </c>
      <c r="M30" s="115"/>
    </row>
    <row r="32" spans="1:21">
      <c r="A32" t="s">
        <v>1543</v>
      </c>
      <c r="B32" s="361" t="e">
        <f>B34-B25</f>
        <v>#DIV/0!</v>
      </c>
      <c r="C32" t="s">
        <v>562</v>
      </c>
    </row>
    <row r="34" spans="1:14">
      <c r="A34" t="s">
        <v>1588</v>
      </c>
      <c r="B34" s="351" t="e">
        <f>B19*(1-B17-B23)</f>
        <v>#DIV/0!</v>
      </c>
      <c r="C34" t="s">
        <v>562</v>
      </c>
    </row>
    <row r="36" spans="1:14">
      <c r="A36" s="115" t="s">
        <v>1546</v>
      </c>
      <c r="B36" s="362" t="e">
        <f>(B10*(1-1/B9)-(Vent!G32*1.2/3600)*(20-7))/(B10*(1-1/B9))</f>
        <v>#DIV/0!</v>
      </c>
    </row>
    <row r="37" spans="1:14">
      <c r="B37" s="349"/>
    </row>
    <row r="38" spans="1:14">
      <c r="A38" t="s">
        <v>1545</v>
      </c>
      <c r="B38" s="353" t="e">
        <f>B32*B36</f>
        <v>#DIV/0!</v>
      </c>
      <c r="C38" t="s">
        <v>562</v>
      </c>
    </row>
    <row r="39" spans="1:14">
      <c r="B39" s="349"/>
      <c r="N39" s="115"/>
    </row>
    <row r="40" spans="1:14">
      <c r="D40" s="363"/>
      <c r="L40" s="193"/>
      <c r="N40" s="115"/>
    </row>
    <row r="42" spans="1:14" ht="13">
      <c r="A42" s="3" t="s">
        <v>1589</v>
      </c>
    </row>
    <row r="43" spans="1:14">
      <c r="A43" t="s">
        <v>1576</v>
      </c>
      <c r="B43">
        <f>IF(HP!B5="No",HP!B69,((HP!B69*HP!B6)/HP!B7)*HP!B8)</f>
        <v>2488.6104499012713</v>
      </c>
      <c r="C43" t="s">
        <v>562</v>
      </c>
    </row>
    <row r="44" spans="1:14">
      <c r="A44" t="s">
        <v>1590</v>
      </c>
      <c r="B44" s="351">
        <f>HP!B100</f>
        <v>0</v>
      </c>
    </row>
    <row r="45" spans="1:14">
      <c r="A45" t="s">
        <v>71</v>
      </c>
      <c r="B45">
        <f>HP!B102</f>
        <v>0</v>
      </c>
      <c r="C45" t="s">
        <v>1386</v>
      </c>
    </row>
    <row r="47" spans="1:14">
      <c r="A47" t="s">
        <v>1568</v>
      </c>
      <c r="B47">
        <f>HP!B101</f>
        <v>0</v>
      </c>
      <c r="C47" t="s">
        <v>1560</v>
      </c>
    </row>
    <row r="48" spans="1:14">
      <c r="A48" t="s">
        <v>1570</v>
      </c>
      <c r="B48">
        <f>HP!B72</f>
        <v>65</v>
      </c>
      <c r="C48" t="s">
        <v>1560</v>
      </c>
    </row>
    <row r="49" spans="1:14">
      <c r="A49" t="s">
        <v>1571</v>
      </c>
      <c r="B49">
        <f>HP!B71</f>
        <v>10</v>
      </c>
      <c r="C49" t="s">
        <v>1560</v>
      </c>
    </row>
    <row r="51" spans="1:14">
      <c r="A51" t="s">
        <v>1591</v>
      </c>
      <c r="B51" s="5">
        <f>IF((B48-B47)&lt;=0,0,(B48-B47)/(B48-B49))</f>
        <v>1.1818181818181819</v>
      </c>
      <c r="E51" t="s">
        <v>1575</v>
      </c>
      <c r="L51" s="193"/>
    </row>
    <row r="52" spans="1:14">
      <c r="L52" s="207"/>
      <c r="N52" s="115"/>
    </row>
    <row r="53" spans="1:14">
      <c r="A53" t="s">
        <v>1592</v>
      </c>
      <c r="B53" s="4" t="e">
        <f>(B43*(1-B51))/B44</f>
        <v>#DIV/0!</v>
      </c>
      <c r="C53" t="s">
        <v>562</v>
      </c>
      <c r="N53" s="115"/>
    </row>
    <row r="54" spans="1:14">
      <c r="A54" t="s">
        <v>1593</v>
      </c>
      <c r="B54" s="4">
        <f>(B43*B51)/HP!B78</f>
        <v>2941.0850771560481</v>
      </c>
      <c r="C54" t="s">
        <v>562</v>
      </c>
      <c r="G54" t="s">
        <v>206</v>
      </c>
      <c r="L54" s="193"/>
    </row>
    <row r="55" spans="1:14">
      <c r="A55" t="s">
        <v>1586</v>
      </c>
      <c r="B55" s="4" t="e">
        <f>SUM(B53:B54)</f>
        <v>#DIV/0!</v>
      </c>
      <c r="C55" t="s">
        <v>562</v>
      </c>
    </row>
    <row r="57" spans="1:14">
      <c r="A57" s="115" t="s">
        <v>1587</v>
      </c>
      <c r="B57" s="352" t="e">
        <f>B43/B55</f>
        <v>#DIV/0!</v>
      </c>
    </row>
    <row r="59" spans="1:14">
      <c r="A59" t="s">
        <v>1543</v>
      </c>
      <c r="B59" s="353" t="e">
        <f>IF(B57&gt;2.5,(B57-2.5)*B55,0)</f>
        <v>#DIV/0!</v>
      </c>
      <c r="C59" t="s">
        <v>562</v>
      </c>
    </row>
    <row r="61" spans="1:14">
      <c r="A61" t="s">
        <v>1588</v>
      </c>
      <c r="B61" s="351">
        <f>B43*(1-B51)</f>
        <v>-452.47462725477675</v>
      </c>
      <c r="C61" t="s">
        <v>562</v>
      </c>
    </row>
    <row r="63" spans="1:14">
      <c r="A63" t="s">
        <v>1594</v>
      </c>
      <c r="B63" s="354" t="e">
        <f>B61/B53</f>
        <v>#DIV/0!</v>
      </c>
    </row>
    <row r="64" spans="1:14">
      <c r="B64" s="349"/>
    </row>
    <row r="65" spans="1:14">
      <c r="A65" t="s">
        <v>1545</v>
      </c>
      <c r="B65" s="353" t="e">
        <f>IF(B63&lt;2.5,0,(B63-2.5)*B53)</f>
        <v>#DIV/0!</v>
      </c>
      <c r="C65" t="s">
        <v>562</v>
      </c>
    </row>
    <row r="66" spans="1:14">
      <c r="B66" s="349"/>
    </row>
    <row r="67" spans="1:14">
      <c r="L67" s="193"/>
      <c r="N67" s="115"/>
    </row>
    <row r="70" spans="1:14" ht="13">
      <c r="A70" s="3" t="s">
        <v>1595</v>
      </c>
    </row>
    <row r="71" spans="1:14">
      <c r="A71" t="s">
        <v>1576</v>
      </c>
      <c r="B71">
        <f>IF(HP!B5="No",HP!B69,((HP!B69*HP!B6)/HP!B7)*HP!B8)</f>
        <v>2488.6104499012713</v>
      </c>
      <c r="C71" t="s">
        <v>562</v>
      </c>
    </row>
    <row r="72" spans="1:14">
      <c r="A72" t="s">
        <v>1596</v>
      </c>
      <c r="B72" s="351">
        <f>HP!B93</f>
        <v>3</v>
      </c>
    </row>
    <row r="73" spans="1:14">
      <c r="A73" t="s">
        <v>327</v>
      </c>
      <c r="B73" s="351">
        <f>IF(AND(HP!B95="No",HP!B96="Yes"),0.7,1)</f>
        <v>1</v>
      </c>
    </row>
    <row r="74" spans="1:14">
      <c r="A74" t="s">
        <v>206</v>
      </c>
      <c r="B74" t="s">
        <v>1597</v>
      </c>
      <c r="C74" t="s">
        <v>206</v>
      </c>
    </row>
    <row r="75" spans="1:14">
      <c r="A75" s="115" t="s">
        <v>1587</v>
      </c>
      <c r="B75" s="352">
        <f>IF(AND(HP!$B$95="No",HP!$B$96="Yes"),'DHW Calc'!B72,(1/(50/(B72*100)+0.5)))</f>
        <v>1.5</v>
      </c>
      <c r="N75" s="115"/>
    </row>
    <row r="76" spans="1:14">
      <c r="A76" s="115"/>
      <c r="B76" s="5"/>
    </row>
    <row r="77" spans="1:14">
      <c r="A77" t="s">
        <v>1586</v>
      </c>
      <c r="B77" s="5">
        <f>B71/B75</f>
        <v>1659.0736332675142</v>
      </c>
      <c r="C77" t="s">
        <v>562</v>
      </c>
    </row>
    <row r="79" spans="1:14">
      <c r="A79" t="s">
        <v>1543</v>
      </c>
      <c r="B79" s="353">
        <f>IF(B75&gt;2.5,(B75-2.5)*B77,0)</f>
        <v>0</v>
      </c>
      <c r="C79" t="s">
        <v>562</v>
      </c>
    </row>
    <row r="81" spans="1:14">
      <c r="A81" t="s">
        <v>1588</v>
      </c>
      <c r="B81" s="351">
        <f>IF(B75=B72,B71,B71*0.5)</f>
        <v>1244.3052249506356</v>
      </c>
      <c r="C81" t="s">
        <v>562</v>
      </c>
    </row>
    <row r="83" spans="1:14">
      <c r="A83" t="s">
        <v>1592</v>
      </c>
      <c r="B83">
        <f>B81/B72</f>
        <v>414.76840831687855</v>
      </c>
      <c r="C83" t="s">
        <v>562</v>
      </c>
    </row>
    <row r="85" spans="1:14">
      <c r="A85" t="s">
        <v>1545</v>
      </c>
      <c r="B85" s="353">
        <f>IF(B72&lt;2.5,0,(B72-2.5)*B83)</f>
        <v>207.38420415843927</v>
      </c>
      <c r="C85" t="s">
        <v>562</v>
      </c>
      <c r="N85" s="115"/>
    </row>
    <row r="86" spans="1:14">
      <c r="B86" s="349"/>
    </row>
    <row r="87" spans="1:14">
      <c r="L87" s="193"/>
      <c r="N87" s="115"/>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1796875" defaultRowHeight="12.5"/>
  <cols>
    <col min="2" max="2" width="44.54296875" customWidth="1"/>
    <col min="3" max="3" width="19.1796875" customWidth="1"/>
    <col min="4" max="4" width="18.453125" customWidth="1"/>
    <col min="5" max="5" width="18.54296875" customWidth="1"/>
    <col min="6" max="6" width="31.1796875" customWidth="1"/>
    <col min="7" max="7" width="28.453125" customWidth="1"/>
    <col min="10" max="10" width="12.54296875" customWidth="1"/>
  </cols>
  <sheetData>
    <row r="1" spans="1:12">
      <c r="B1">
        <v>16</v>
      </c>
      <c r="C1" t="s">
        <v>1598</v>
      </c>
      <c r="F1" t="s">
        <v>206</v>
      </c>
      <c r="G1" t="s">
        <v>1599</v>
      </c>
      <c r="L1" s="115"/>
    </row>
    <row r="2" spans="1:12">
      <c r="C2" t="s">
        <v>1600</v>
      </c>
    </row>
    <row r="3" spans="1:12" ht="119.25" customHeight="1">
      <c r="A3" s="193" t="s">
        <v>1439</v>
      </c>
      <c r="B3" s="193" t="s">
        <v>1601</v>
      </c>
      <c r="C3" s="193" t="s">
        <v>1602</v>
      </c>
      <c r="D3" t="s">
        <v>1603</v>
      </c>
      <c r="E3" s="355" t="s">
        <v>1604</v>
      </c>
      <c r="F3" t="s">
        <v>1440</v>
      </c>
      <c r="G3" t="s">
        <v>1441</v>
      </c>
    </row>
    <row r="4" spans="1:12">
      <c r="A4" s="356">
        <v>-12</v>
      </c>
      <c r="B4" s="357">
        <v>0</v>
      </c>
      <c r="C4">
        <f>SUM(B$4:$B4)</f>
        <v>0</v>
      </c>
      <c r="D4">
        <f>($B$1-A4)*B4</f>
        <v>0</v>
      </c>
      <c r="E4">
        <f>SUM($D$4:D4)</f>
        <v>0</v>
      </c>
      <c r="F4" s="85">
        <f t="shared" ref="F4:F31" si="0">D4/$E$31</f>
        <v>0</v>
      </c>
      <c r="G4" s="85">
        <f t="shared" ref="G4:G52" si="1">B4/8760</f>
        <v>0</v>
      </c>
    </row>
    <row r="5" spans="1:12">
      <c r="A5" s="356">
        <f t="shared" ref="A5:A51" si="2">A4+1</f>
        <v>-11</v>
      </c>
      <c r="B5" s="357">
        <v>0</v>
      </c>
      <c r="C5">
        <f>SUM(B$4:$B5)</f>
        <v>0</v>
      </c>
      <c r="D5">
        <f t="shared" ref="D5:D32" si="3">($B$1-A5)*B5</f>
        <v>0</v>
      </c>
      <c r="E5">
        <f>SUM($D$4:D5)</f>
        <v>0</v>
      </c>
      <c r="F5" s="85">
        <f t="shared" si="0"/>
        <v>0</v>
      </c>
      <c r="G5" s="85">
        <f t="shared" si="1"/>
        <v>0</v>
      </c>
    </row>
    <row r="6" spans="1:12">
      <c r="A6" s="356">
        <f t="shared" si="2"/>
        <v>-10</v>
      </c>
      <c r="B6" s="357">
        <v>0</v>
      </c>
      <c r="C6">
        <f>SUM(B$4:$B6)</f>
        <v>0</v>
      </c>
      <c r="D6">
        <f t="shared" si="3"/>
        <v>0</v>
      </c>
      <c r="E6">
        <f>SUM($D$4:D6)</f>
        <v>0</v>
      </c>
      <c r="F6" s="85">
        <f t="shared" si="0"/>
        <v>0</v>
      </c>
      <c r="G6" s="85">
        <f t="shared" si="1"/>
        <v>0</v>
      </c>
      <c r="J6" s="193"/>
      <c r="K6" s="193"/>
      <c r="L6" s="115"/>
    </row>
    <row r="7" spans="1:12">
      <c r="A7" s="356">
        <f t="shared" si="2"/>
        <v>-9</v>
      </c>
      <c r="B7" s="357">
        <v>0</v>
      </c>
      <c r="C7">
        <f>SUM(B$4:$B7)</f>
        <v>0</v>
      </c>
      <c r="D7">
        <f t="shared" si="3"/>
        <v>0</v>
      </c>
      <c r="E7">
        <f>SUM($D$4:D7)</f>
        <v>0</v>
      </c>
      <c r="F7" s="85">
        <f t="shared" si="0"/>
        <v>0</v>
      </c>
      <c r="G7" s="85">
        <f t="shared" si="1"/>
        <v>0</v>
      </c>
    </row>
    <row r="8" spans="1:12">
      <c r="A8" s="356">
        <f t="shared" si="2"/>
        <v>-8</v>
      </c>
      <c r="B8" s="357">
        <v>0</v>
      </c>
      <c r="C8">
        <f>SUM(B$4:$B8)</f>
        <v>0</v>
      </c>
      <c r="D8">
        <f t="shared" si="3"/>
        <v>0</v>
      </c>
      <c r="E8">
        <f>SUM($D$4:D8)</f>
        <v>0</v>
      </c>
      <c r="F8" s="85">
        <f t="shared" si="0"/>
        <v>0</v>
      </c>
      <c r="G8" s="85">
        <f t="shared" si="1"/>
        <v>0</v>
      </c>
    </row>
    <row r="9" spans="1:12">
      <c r="A9" s="356">
        <f t="shared" si="2"/>
        <v>-7</v>
      </c>
      <c r="B9" s="357">
        <v>0</v>
      </c>
      <c r="C9">
        <f>SUM(B$4:$B9)</f>
        <v>0</v>
      </c>
      <c r="D9">
        <f t="shared" si="3"/>
        <v>0</v>
      </c>
      <c r="E9">
        <f>SUM($D$4:D9)</f>
        <v>0</v>
      </c>
      <c r="F9" s="85">
        <f t="shared" si="0"/>
        <v>0</v>
      </c>
      <c r="G9" s="85">
        <f t="shared" si="1"/>
        <v>0</v>
      </c>
    </row>
    <row r="10" spans="1:12">
      <c r="A10" s="356">
        <f t="shared" si="2"/>
        <v>-6</v>
      </c>
      <c r="B10" s="357">
        <v>0</v>
      </c>
      <c r="C10">
        <f>SUM(B$4:$B10)</f>
        <v>0</v>
      </c>
      <c r="D10">
        <f t="shared" si="3"/>
        <v>0</v>
      </c>
      <c r="E10">
        <f>SUM($D$4:D10)</f>
        <v>0</v>
      </c>
      <c r="F10" s="85">
        <f t="shared" si="0"/>
        <v>0</v>
      </c>
      <c r="G10" s="85">
        <f t="shared" si="1"/>
        <v>0</v>
      </c>
    </row>
    <row r="11" spans="1:12">
      <c r="A11" s="356">
        <f t="shared" si="2"/>
        <v>-5</v>
      </c>
      <c r="B11" s="357">
        <v>0</v>
      </c>
      <c r="C11">
        <f>SUM(B$4:$B11)</f>
        <v>0</v>
      </c>
      <c r="D11">
        <f t="shared" si="3"/>
        <v>0</v>
      </c>
      <c r="E11">
        <f>SUM($D$4:D11)</f>
        <v>0</v>
      </c>
      <c r="F11" s="85">
        <f t="shared" si="0"/>
        <v>0</v>
      </c>
      <c r="G11" s="85">
        <f t="shared" si="1"/>
        <v>0</v>
      </c>
    </row>
    <row r="12" spans="1:12">
      <c r="A12" s="356">
        <f t="shared" si="2"/>
        <v>-4</v>
      </c>
      <c r="B12" s="357">
        <v>0</v>
      </c>
      <c r="C12">
        <f>SUM(B$4:$B12)</f>
        <v>0</v>
      </c>
      <c r="D12">
        <f t="shared" si="3"/>
        <v>0</v>
      </c>
      <c r="E12">
        <f>SUM($D$4:D12)</f>
        <v>0</v>
      </c>
      <c r="F12" s="85">
        <f t="shared" si="0"/>
        <v>0</v>
      </c>
      <c r="G12" s="85">
        <f t="shared" si="1"/>
        <v>0</v>
      </c>
    </row>
    <row r="13" spans="1:12">
      <c r="A13" s="356">
        <f t="shared" si="2"/>
        <v>-3</v>
      </c>
      <c r="B13" s="357">
        <v>4</v>
      </c>
      <c r="C13">
        <f>SUM(B$4:$B13)</f>
        <v>4</v>
      </c>
      <c r="D13">
        <f>($B$1-A13)*B13</f>
        <v>76</v>
      </c>
      <c r="E13">
        <f>SUM($D$4:D13)</f>
        <v>76</v>
      </c>
      <c r="F13" s="85">
        <f>D13/$E$31</f>
        <v>1.3629108907339993E-3</v>
      </c>
      <c r="G13" s="85">
        <f t="shared" si="1"/>
        <v>4.5662100456621003E-4</v>
      </c>
    </row>
    <row r="14" spans="1:12">
      <c r="A14" s="356">
        <f t="shared" si="2"/>
        <v>-2</v>
      </c>
      <c r="B14" s="357">
        <v>14</v>
      </c>
      <c r="C14">
        <f>SUM(B$4:$B14)</f>
        <v>18</v>
      </c>
      <c r="D14">
        <f>($B$1-A14)*B14</f>
        <v>252</v>
      </c>
      <c r="E14">
        <f>SUM($D$4:D14)</f>
        <v>328</v>
      </c>
      <c r="F14" s="85">
        <f>D14/$E$31</f>
        <v>4.5191255850653657E-3</v>
      </c>
      <c r="G14" s="85">
        <f t="shared" si="1"/>
        <v>1.5981735159817352E-3</v>
      </c>
    </row>
    <row r="15" spans="1:12">
      <c r="A15" s="356">
        <f t="shared" si="2"/>
        <v>-1</v>
      </c>
      <c r="B15" s="357">
        <v>44</v>
      </c>
      <c r="C15">
        <f>SUM(B$4:$B15)</f>
        <v>62</v>
      </c>
      <c r="D15">
        <f t="shared" si="3"/>
        <v>748</v>
      </c>
      <c r="E15">
        <f>SUM($D$4:D15)</f>
        <v>1076</v>
      </c>
      <c r="F15" s="85">
        <f t="shared" si="0"/>
        <v>1.3413912450908309E-2</v>
      </c>
      <c r="G15" s="85">
        <f t="shared" si="1"/>
        <v>5.0228310502283104E-3</v>
      </c>
    </row>
    <row r="16" spans="1:12">
      <c r="A16" s="356">
        <f t="shared" si="2"/>
        <v>0</v>
      </c>
      <c r="B16" s="357">
        <v>112</v>
      </c>
      <c r="C16">
        <f>SUM(B$4:$B16)</f>
        <v>174</v>
      </c>
      <c r="D16">
        <f t="shared" si="3"/>
        <v>1792</v>
      </c>
      <c r="E16">
        <f>SUM($D$4:D16)</f>
        <v>2868</v>
      </c>
      <c r="F16" s="85">
        <f t="shared" si="0"/>
        <v>3.2136004160464825E-2</v>
      </c>
      <c r="G16" s="85">
        <f t="shared" si="1"/>
        <v>1.2785388127853882E-2</v>
      </c>
    </row>
    <row r="17" spans="1:7">
      <c r="A17" s="356">
        <f t="shared" si="2"/>
        <v>1</v>
      </c>
      <c r="B17" s="357">
        <v>146</v>
      </c>
      <c r="C17">
        <f>SUM(B$4:$B17)</f>
        <v>320</v>
      </c>
      <c r="D17">
        <f t="shared" si="3"/>
        <v>2190</v>
      </c>
      <c r="E17">
        <f>SUM($D$4:D17)</f>
        <v>5058</v>
      </c>
      <c r="F17" s="85">
        <f t="shared" si="0"/>
        <v>3.927335329878235E-2</v>
      </c>
      <c r="G17" s="85">
        <f t="shared" si="1"/>
        <v>1.6666666666666666E-2</v>
      </c>
    </row>
    <row r="18" spans="1:7">
      <c r="A18" s="356">
        <f t="shared" si="2"/>
        <v>2</v>
      </c>
      <c r="B18" s="357">
        <v>222</v>
      </c>
      <c r="C18">
        <f>SUM(B$4:$B18)</f>
        <v>542</v>
      </c>
      <c r="D18">
        <f t="shared" si="3"/>
        <v>3108</v>
      </c>
      <c r="E18">
        <f>SUM($D$4:D18)</f>
        <v>8166</v>
      </c>
      <c r="F18" s="85">
        <f>D18/$E$31</f>
        <v>5.5735882215806179E-2</v>
      </c>
      <c r="G18" s="85">
        <f t="shared" si="1"/>
        <v>2.5342465753424658E-2</v>
      </c>
    </row>
    <row r="19" spans="1:7">
      <c r="A19" s="356">
        <f t="shared" si="2"/>
        <v>3</v>
      </c>
      <c r="B19" s="357">
        <v>323</v>
      </c>
      <c r="C19">
        <f>SUM(B$4:$B19)</f>
        <v>865</v>
      </c>
      <c r="D19">
        <f t="shared" si="3"/>
        <v>4199</v>
      </c>
      <c r="E19">
        <f>SUM($D$4:D19)</f>
        <v>12365</v>
      </c>
      <c r="F19" s="85">
        <f t="shared" si="0"/>
        <v>7.5300826713053465E-2</v>
      </c>
      <c r="G19" s="85">
        <f t="shared" si="1"/>
        <v>3.6872146118721458E-2</v>
      </c>
    </row>
    <row r="20" spans="1:7">
      <c r="A20" s="356">
        <f t="shared" si="2"/>
        <v>4</v>
      </c>
      <c r="B20" s="357">
        <v>400</v>
      </c>
      <c r="C20">
        <f>SUM(B$4:$B20)</f>
        <v>1265</v>
      </c>
      <c r="D20">
        <f t="shared" si="3"/>
        <v>4800</v>
      </c>
      <c r="E20">
        <f>SUM($D$4:D20)</f>
        <v>17165</v>
      </c>
      <c r="F20" s="85">
        <f t="shared" si="0"/>
        <v>8.6078582572673631E-2</v>
      </c>
      <c r="G20" s="85">
        <f t="shared" si="1"/>
        <v>4.5662100456621002E-2</v>
      </c>
    </row>
    <row r="21" spans="1:7">
      <c r="A21" s="356">
        <f t="shared" si="2"/>
        <v>5</v>
      </c>
      <c r="B21" s="357">
        <v>446</v>
      </c>
      <c r="C21">
        <f>SUM(B$4:$B21)</f>
        <v>1711</v>
      </c>
      <c r="D21">
        <f t="shared" si="3"/>
        <v>4906</v>
      </c>
      <c r="E21">
        <f>SUM($D$4:D21)</f>
        <v>22071</v>
      </c>
      <c r="F21" s="85">
        <f t="shared" si="0"/>
        <v>8.7979484604486846E-2</v>
      </c>
      <c r="G21" s="85">
        <f t="shared" si="1"/>
        <v>5.0913242009132421E-2</v>
      </c>
    </row>
    <row r="22" spans="1:7">
      <c r="A22" s="356">
        <f t="shared" si="2"/>
        <v>6</v>
      </c>
      <c r="B22" s="357">
        <v>545</v>
      </c>
      <c r="C22">
        <f>SUM(B$4:$B22)</f>
        <v>2256</v>
      </c>
      <c r="D22">
        <f t="shared" si="3"/>
        <v>5450</v>
      </c>
      <c r="E22">
        <f>SUM($D$4:D22)</f>
        <v>27521</v>
      </c>
      <c r="F22" s="85">
        <f t="shared" si="0"/>
        <v>9.7735057296056527E-2</v>
      </c>
      <c r="G22" s="85">
        <f t="shared" si="1"/>
        <v>6.2214611872146115E-2</v>
      </c>
    </row>
    <row r="23" spans="1:7">
      <c r="A23" s="356">
        <f t="shared" si="2"/>
        <v>7</v>
      </c>
      <c r="B23" s="357">
        <v>603</v>
      </c>
      <c r="C23">
        <f>SUM(B$4:$B23)</f>
        <v>2859</v>
      </c>
      <c r="D23">
        <f t="shared" si="3"/>
        <v>5427</v>
      </c>
      <c r="E23">
        <f>SUM($D$4:D23)</f>
        <v>32948</v>
      </c>
      <c r="F23" s="85">
        <f t="shared" si="0"/>
        <v>9.7322597421229132E-2</v>
      </c>
      <c r="G23" s="85">
        <f t="shared" si="1"/>
        <v>6.8835616438356159E-2</v>
      </c>
    </row>
    <row r="24" spans="1:7">
      <c r="A24" s="356">
        <f t="shared" si="2"/>
        <v>8</v>
      </c>
      <c r="B24" s="357">
        <v>658</v>
      </c>
      <c r="C24">
        <f>SUM(B$4:$B24)</f>
        <v>3517</v>
      </c>
      <c r="D24">
        <f t="shared" si="3"/>
        <v>5264</v>
      </c>
      <c r="E24">
        <f>SUM($D$4:D24)</f>
        <v>38212</v>
      </c>
      <c r="F24" s="85">
        <f t="shared" si="0"/>
        <v>9.4399512221365417E-2</v>
      </c>
      <c r="G24" s="85">
        <f t="shared" si="1"/>
        <v>7.5114155251141554E-2</v>
      </c>
    </row>
    <row r="25" spans="1:7">
      <c r="A25" s="356">
        <f t="shared" si="2"/>
        <v>9</v>
      </c>
      <c r="B25" s="357">
        <v>681</v>
      </c>
      <c r="C25">
        <f>SUM(B$4:$B25)</f>
        <v>4198</v>
      </c>
      <c r="D25">
        <f t="shared" si="3"/>
        <v>4767</v>
      </c>
      <c r="E25">
        <f>SUM($D$4:D25)</f>
        <v>42979</v>
      </c>
      <c r="F25" s="85">
        <f t="shared" si="0"/>
        <v>8.5486792317486501E-2</v>
      </c>
      <c r="G25" s="85">
        <f t="shared" si="1"/>
        <v>7.773972602739726E-2</v>
      </c>
    </row>
    <row r="26" spans="1:7">
      <c r="A26" s="356">
        <f t="shared" si="2"/>
        <v>10</v>
      </c>
      <c r="B26" s="357">
        <v>639</v>
      </c>
      <c r="C26">
        <f>SUM(B$4:$B26)</f>
        <v>4837</v>
      </c>
      <c r="D26">
        <f t="shared" si="3"/>
        <v>3834</v>
      </c>
      <c r="E26">
        <f>SUM($D$4:D26)</f>
        <v>46813</v>
      </c>
      <c r="F26" s="85">
        <f t="shared" si="0"/>
        <v>6.875526782992307E-2</v>
      </c>
      <c r="G26" s="85">
        <f t="shared" si="1"/>
        <v>7.294520547945206E-2</v>
      </c>
    </row>
    <row r="27" spans="1:7">
      <c r="A27" s="356">
        <f t="shared" si="2"/>
        <v>11</v>
      </c>
      <c r="B27" s="357">
        <v>660</v>
      </c>
      <c r="C27">
        <f>SUM(B$4:$B27)</f>
        <v>5497</v>
      </c>
      <c r="D27">
        <f t="shared" si="3"/>
        <v>3300</v>
      </c>
      <c r="E27">
        <f>SUM($D$4:D27)</f>
        <v>50113</v>
      </c>
      <c r="F27" s="85">
        <f t="shared" si="0"/>
        <v>5.9179025518713124E-2</v>
      </c>
      <c r="G27" s="85">
        <f t="shared" si="1"/>
        <v>7.5342465753424653E-2</v>
      </c>
    </row>
    <row r="28" spans="1:7">
      <c r="A28" s="356">
        <f t="shared" si="2"/>
        <v>12</v>
      </c>
      <c r="B28" s="357">
        <v>610</v>
      </c>
      <c r="C28">
        <f>SUM(B$4:$B28)</f>
        <v>6107</v>
      </c>
      <c r="D28">
        <f t="shared" si="3"/>
        <v>2440</v>
      </c>
      <c r="E28">
        <f>SUM($D$4:D28)</f>
        <v>52553</v>
      </c>
      <c r="F28" s="85">
        <f t="shared" si="0"/>
        <v>4.3756612807775763E-2</v>
      </c>
      <c r="G28" s="85">
        <f t="shared" si="1"/>
        <v>6.9634703196347028E-2</v>
      </c>
    </row>
    <row r="29" spans="1:7">
      <c r="A29" s="356">
        <f t="shared" si="2"/>
        <v>13</v>
      </c>
      <c r="B29" s="357">
        <v>582</v>
      </c>
      <c r="C29">
        <f>SUM(B$4:$B29)</f>
        <v>6689</v>
      </c>
      <c r="D29">
        <f t="shared" si="3"/>
        <v>1746</v>
      </c>
      <c r="E29">
        <f>SUM($D$4:D29)</f>
        <v>54299</v>
      </c>
      <c r="F29" s="85">
        <f t="shared" si="0"/>
        <v>3.1311084410810035E-2</v>
      </c>
      <c r="G29" s="85">
        <f t="shared" si="1"/>
        <v>6.6438356164383566E-2</v>
      </c>
    </row>
    <row r="30" spans="1:7">
      <c r="A30" s="356">
        <f t="shared" si="2"/>
        <v>14</v>
      </c>
      <c r="B30" s="357">
        <v>481</v>
      </c>
      <c r="C30">
        <f>SUM(B$4:$B30)</f>
        <v>7170</v>
      </c>
      <c r="D30">
        <f t="shared" si="3"/>
        <v>962</v>
      </c>
      <c r="E30">
        <f>SUM($D$4:D30)</f>
        <v>55261</v>
      </c>
      <c r="F30" s="85">
        <f t="shared" si="0"/>
        <v>1.7251582590606676E-2</v>
      </c>
      <c r="G30" s="85">
        <f t="shared" si="1"/>
        <v>5.4908675799086759E-2</v>
      </c>
    </row>
    <row r="31" spans="1:7">
      <c r="A31" s="356">
        <f t="shared" si="2"/>
        <v>15</v>
      </c>
      <c r="B31" s="357">
        <v>502</v>
      </c>
      <c r="C31">
        <f>SUM(B$4:$B31)</f>
        <v>7672</v>
      </c>
      <c r="D31">
        <f t="shared" si="3"/>
        <v>502</v>
      </c>
      <c r="E31">
        <f>SUM($D$4:D31)</f>
        <v>55763</v>
      </c>
      <c r="F31" s="85">
        <f t="shared" si="0"/>
        <v>9.002385094058785E-3</v>
      </c>
      <c r="G31" s="85">
        <f t="shared" si="1"/>
        <v>5.7305936073059359E-2</v>
      </c>
    </row>
    <row r="32" spans="1:7">
      <c r="A32" s="356">
        <f t="shared" si="2"/>
        <v>16</v>
      </c>
      <c r="B32" s="357">
        <v>383</v>
      </c>
      <c r="C32">
        <f>SUM(B$4:$B32)</f>
        <v>8055</v>
      </c>
      <c r="D32">
        <f t="shared" si="3"/>
        <v>0</v>
      </c>
      <c r="G32" s="85">
        <f t="shared" si="1"/>
        <v>4.3721461187214615E-2</v>
      </c>
    </row>
    <row r="33" spans="1:7">
      <c r="A33" s="356">
        <f t="shared" si="2"/>
        <v>17</v>
      </c>
      <c r="B33" s="357">
        <v>259</v>
      </c>
      <c r="C33">
        <f>SUM(B$4:$B33)</f>
        <v>8314</v>
      </c>
      <c r="G33" s="85">
        <f t="shared" si="1"/>
        <v>2.9566210045662102E-2</v>
      </c>
    </row>
    <row r="34" spans="1:7">
      <c r="A34" s="356">
        <f t="shared" si="2"/>
        <v>18</v>
      </c>
      <c r="B34" s="357">
        <v>170</v>
      </c>
      <c r="C34">
        <f>SUM(B$4:$B34)</f>
        <v>8484</v>
      </c>
      <c r="G34" s="85">
        <f t="shared" si="1"/>
        <v>1.9406392694063926E-2</v>
      </c>
    </row>
    <row r="35" spans="1:7">
      <c r="A35" s="356">
        <f t="shared" si="2"/>
        <v>19</v>
      </c>
      <c r="B35" s="357">
        <v>112</v>
      </c>
      <c r="C35">
        <f>SUM(B$4:$B35)</f>
        <v>8596</v>
      </c>
      <c r="G35" s="85">
        <f t="shared" si="1"/>
        <v>1.2785388127853882E-2</v>
      </c>
    </row>
    <row r="36" spans="1:7">
      <c r="A36" s="356">
        <f t="shared" si="2"/>
        <v>20</v>
      </c>
      <c r="B36" s="357">
        <v>67</v>
      </c>
      <c r="C36">
        <f>SUM(B$4:$B36)</f>
        <v>8663</v>
      </c>
      <c r="G36" s="85">
        <f t="shared" si="1"/>
        <v>7.6484018264840184E-3</v>
      </c>
    </row>
    <row r="37" spans="1:7">
      <c r="A37" s="356">
        <f t="shared" si="2"/>
        <v>21</v>
      </c>
      <c r="B37" s="357">
        <v>37</v>
      </c>
      <c r="C37">
        <f>SUM(B$4:$B37)</f>
        <v>8700</v>
      </c>
      <c r="G37" s="85">
        <f t="shared" si="1"/>
        <v>4.2237442922374432E-3</v>
      </c>
    </row>
    <row r="38" spans="1:7">
      <c r="A38" s="356">
        <f t="shared" si="2"/>
        <v>22</v>
      </c>
      <c r="B38" s="357">
        <v>27</v>
      </c>
      <c r="C38">
        <f>SUM(B$4:$B38)</f>
        <v>8727</v>
      </c>
      <c r="G38" s="85">
        <f t="shared" si="1"/>
        <v>3.0821917808219177E-3</v>
      </c>
    </row>
    <row r="39" spans="1:7">
      <c r="A39" s="356">
        <f t="shared" si="2"/>
        <v>23</v>
      </c>
      <c r="B39" s="357">
        <v>20</v>
      </c>
      <c r="C39">
        <f>SUM(B$4:$B39)</f>
        <v>8747</v>
      </c>
      <c r="G39" s="85">
        <f t="shared" si="1"/>
        <v>2.2831050228310501E-3</v>
      </c>
    </row>
    <row r="40" spans="1:7">
      <c r="A40" s="356">
        <f t="shared" si="2"/>
        <v>24</v>
      </c>
      <c r="B40" s="357">
        <v>13</v>
      </c>
      <c r="C40">
        <f>SUM(B$4:$B40)</f>
        <v>8760</v>
      </c>
      <c r="G40" s="85">
        <f t="shared" si="1"/>
        <v>1.4840182648401827E-3</v>
      </c>
    </row>
    <row r="41" spans="1:7">
      <c r="A41" s="356">
        <f t="shared" si="2"/>
        <v>25</v>
      </c>
      <c r="B41" s="357">
        <v>0</v>
      </c>
      <c r="C41">
        <f>SUM(B$4:$B41)</f>
        <v>8760</v>
      </c>
      <c r="G41" s="85">
        <f t="shared" si="1"/>
        <v>0</v>
      </c>
    </row>
    <row r="42" spans="1:7">
      <c r="A42" s="356">
        <f t="shared" si="2"/>
        <v>26</v>
      </c>
      <c r="B42" s="357">
        <v>0</v>
      </c>
      <c r="C42">
        <f>SUM(B$4:$B42)</f>
        <v>8760</v>
      </c>
      <c r="G42" s="85">
        <f t="shared" si="1"/>
        <v>0</v>
      </c>
    </row>
    <row r="43" spans="1:7">
      <c r="A43" s="356">
        <f t="shared" si="2"/>
        <v>27</v>
      </c>
      <c r="B43" s="357">
        <v>0</v>
      </c>
      <c r="C43">
        <f>SUM(B$4:$B43)</f>
        <v>8760</v>
      </c>
      <c r="G43" s="85">
        <f t="shared" si="1"/>
        <v>0</v>
      </c>
    </row>
    <row r="44" spans="1:7">
      <c r="A44" s="356">
        <f t="shared" si="2"/>
        <v>28</v>
      </c>
      <c r="B44" s="357">
        <v>0</v>
      </c>
      <c r="C44">
        <f>SUM(B$4:$B44)</f>
        <v>8760</v>
      </c>
      <c r="G44" s="85">
        <f t="shared" si="1"/>
        <v>0</v>
      </c>
    </row>
    <row r="45" spans="1:7">
      <c r="A45" s="356">
        <f t="shared" si="2"/>
        <v>29</v>
      </c>
      <c r="B45" s="357">
        <v>0</v>
      </c>
      <c r="C45">
        <f>SUM(B$4:$B45)</f>
        <v>8760</v>
      </c>
      <c r="G45" s="85">
        <f t="shared" si="1"/>
        <v>0</v>
      </c>
    </row>
    <row r="46" spans="1:7">
      <c r="A46" s="356">
        <f t="shared" si="2"/>
        <v>30</v>
      </c>
      <c r="B46" s="357">
        <v>0</v>
      </c>
      <c r="C46">
        <f>SUM(B$4:$B46)</f>
        <v>8760</v>
      </c>
      <c r="G46" s="85">
        <f t="shared" si="1"/>
        <v>0</v>
      </c>
    </row>
    <row r="47" spans="1:7">
      <c r="A47" s="356">
        <f t="shared" si="2"/>
        <v>31</v>
      </c>
      <c r="B47" s="357">
        <v>0</v>
      </c>
      <c r="C47">
        <f>SUM(B$4:$B47)</f>
        <v>8760</v>
      </c>
      <c r="G47" s="85">
        <f t="shared" si="1"/>
        <v>0</v>
      </c>
    </row>
    <row r="48" spans="1:7">
      <c r="A48" s="356">
        <f t="shared" si="2"/>
        <v>32</v>
      </c>
      <c r="B48" s="357">
        <v>0</v>
      </c>
      <c r="C48">
        <f>SUM(B$4:$B48)</f>
        <v>8760</v>
      </c>
      <c r="G48" s="85">
        <f t="shared" si="1"/>
        <v>0</v>
      </c>
    </row>
    <row r="49" spans="1:7">
      <c r="A49" s="356">
        <f t="shared" si="2"/>
        <v>33</v>
      </c>
      <c r="B49" s="357">
        <v>0</v>
      </c>
      <c r="C49">
        <f>SUM(B$4:$B49)</f>
        <v>8760</v>
      </c>
      <c r="G49" s="85">
        <f t="shared" si="1"/>
        <v>0</v>
      </c>
    </row>
    <row r="50" spans="1:7">
      <c r="A50" s="356">
        <f t="shared" si="2"/>
        <v>34</v>
      </c>
      <c r="B50" s="357">
        <v>0</v>
      </c>
      <c r="C50">
        <f>SUM(B$4:$B50)</f>
        <v>8760</v>
      </c>
      <c r="G50" s="85">
        <f t="shared" si="1"/>
        <v>0</v>
      </c>
    </row>
    <row r="51" spans="1:7">
      <c r="A51" s="356">
        <f t="shared" si="2"/>
        <v>35</v>
      </c>
      <c r="B51" s="357">
        <v>0</v>
      </c>
      <c r="C51">
        <f>SUM(B$4:$B51)</f>
        <v>8760</v>
      </c>
      <c r="G51" s="85">
        <f t="shared" si="1"/>
        <v>0</v>
      </c>
    </row>
    <row r="52" spans="1:7">
      <c r="G52" s="85">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594" t="s">
        <v>1605</v>
      </c>
      <c r="B1" s="593"/>
      <c r="C1" s="593"/>
      <c r="D1" s="593"/>
      <c r="E1" s="593"/>
      <c r="F1" s="593"/>
      <c r="G1" s="593"/>
      <c r="H1" s="593"/>
      <c r="I1" s="593"/>
      <c r="J1" s="593"/>
      <c r="K1" s="593"/>
      <c r="L1" s="593"/>
      <c r="M1" s="593"/>
      <c r="N1" s="554"/>
    </row>
    <row r="2" spans="1:14">
      <c r="A2" s="554" t="s">
        <v>1606</v>
      </c>
      <c r="B2" s="554"/>
      <c r="C2" s="554" t="str">
        <f>Cov!F9 &amp; Cov!F10</f>
        <v>44927</v>
      </c>
      <c r="D2" s="554"/>
      <c r="E2" s="554"/>
      <c r="F2" s="554"/>
      <c r="G2" s="554"/>
      <c r="H2" s="554"/>
      <c r="I2" s="554"/>
      <c r="J2" s="554"/>
      <c r="K2" s="554"/>
      <c r="L2" s="554"/>
      <c r="M2" s="554"/>
      <c r="N2" s="554"/>
    </row>
    <row r="3" spans="1:14" ht="13">
      <c r="A3" s="554" t="s">
        <v>1607</v>
      </c>
      <c r="B3" s="554"/>
      <c r="C3" s="554"/>
      <c r="D3" s="554"/>
      <c r="E3" s="554"/>
      <c r="F3" s="554"/>
      <c r="G3" s="554"/>
      <c r="H3" s="554"/>
      <c r="I3" s="554"/>
      <c r="J3" s="554"/>
      <c r="K3" s="554"/>
      <c r="L3" s="554"/>
      <c r="M3" s="554"/>
      <c r="N3" s="554"/>
    </row>
    <row r="4" spans="1:14">
      <c r="A4" s="554" t="s">
        <v>1608</v>
      </c>
      <c r="B4" s="554"/>
      <c r="C4" s="554"/>
      <c r="D4" s="554"/>
      <c r="E4" s="554"/>
      <c r="F4" s="554"/>
      <c r="G4" s="554"/>
      <c r="H4" s="554"/>
      <c r="I4" s="554"/>
      <c r="J4" s="554"/>
      <c r="K4" s="554"/>
      <c r="L4" s="554"/>
      <c r="M4" s="554"/>
      <c r="N4" s="554"/>
    </row>
    <row r="5" spans="1:14">
      <c r="A5" s="554" t="s">
        <v>1609</v>
      </c>
      <c r="B5" s="554"/>
      <c r="C5" s="554"/>
      <c r="D5" s="554"/>
      <c r="E5" s="554"/>
      <c r="F5" s="554"/>
      <c r="G5" s="554"/>
      <c r="H5" s="554"/>
      <c r="I5" s="554"/>
      <c r="J5" s="554"/>
      <c r="K5" s="554"/>
      <c r="L5" s="554"/>
      <c r="M5" s="554"/>
      <c r="N5" s="554"/>
    </row>
    <row r="6" spans="1:14">
      <c r="A6" s="554"/>
      <c r="B6" s="554"/>
      <c r="C6" s="554"/>
      <c r="D6" s="554"/>
      <c r="E6" s="554"/>
      <c r="F6" s="554"/>
      <c r="G6" s="554"/>
      <c r="H6" s="554"/>
      <c r="I6" s="554"/>
      <c r="J6" s="554"/>
      <c r="K6" s="554"/>
      <c r="L6" s="554"/>
      <c r="M6" s="554"/>
      <c r="N6" s="554"/>
    </row>
    <row r="7" spans="1:14" ht="13">
      <c r="A7" s="557" t="s">
        <v>1610</v>
      </c>
      <c r="B7" s="554"/>
      <c r="C7" s="554"/>
      <c r="D7" s="554"/>
      <c r="E7" s="554"/>
      <c r="F7" s="557" t="s">
        <v>1611</v>
      </c>
      <c r="G7" s="554"/>
      <c r="H7" s="554">
        <f>TGDL</f>
        <v>2019</v>
      </c>
      <c r="I7" s="554"/>
      <c r="J7" s="554"/>
      <c r="K7" s="554"/>
      <c r="L7" s="554"/>
      <c r="M7" s="554"/>
      <c r="N7" s="554"/>
    </row>
    <row r="8" spans="1:14" ht="14.5">
      <c r="A8" s="154"/>
      <c r="B8" s="154"/>
      <c r="C8" s="155" t="s">
        <v>364</v>
      </c>
      <c r="D8" s="155" t="s">
        <v>1612</v>
      </c>
      <c r="E8" s="554"/>
      <c r="F8" s="554"/>
      <c r="G8" s="554"/>
      <c r="H8" s="554"/>
      <c r="I8" s="554"/>
      <c r="J8" s="554"/>
      <c r="K8" s="554"/>
      <c r="L8" s="554"/>
      <c r="M8" s="554"/>
      <c r="N8" s="554"/>
    </row>
    <row r="9" spans="1:14">
      <c r="A9" s="154" t="s">
        <v>1613</v>
      </c>
      <c r="B9" s="154"/>
      <c r="C9" s="157">
        <f>Dim!D5</f>
        <v>63</v>
      </c>
      <c r="D9" s="396">
        <f>Dim!E5</f>
        <v>2.4</v>
      </c>
      <c r="E9" s="554"/>
      <c r="F9" s="554"/>
      <c r="G9" s="554"/>
      <c r="H9" s="554"/>
      <c r="I9" s="554"/>
      <c r="J9" s="554"/>
      <c r="K9" s="554"/>
      <c r="L9" s="554"/>
      <c r="M9" s="554"/>
      <c r="N9" s="554"/>
    </row>
    <row r="10" spans="1:14">
      <c r="A10" s="154" t="s">
        <v>262</v>
      </c>
      <c r="B10" s="154"/>
      <c r="C10" s="157">
        <f>Dim!D6</f>
        <v>63</v>
      </c>
      <c r="D10" s="396">
        <f>Dim!E6</f>
        <v>2.7</v>
      </c>
      <c r="E10" s="554"/>
      <c r="F10" s="554"/>
      <c r="G10" s="554"/>
      <c r="H10" s="554"/>
      <c r="I10" s="554"/>
      <c r="J10" s="554"/>
      <c r="K10" s="554"/>
      <c r="L10" s="554"/>
      <c r="M10" s="554"/>
      <c r="N10" s="554"/>
    </row>
    <row r="11" spans="1:14">
      <c r="A11" s="154" t="s">
        <v>263</v>
      </c>
      <c r="B11" s="154"/>
      <c r="C11" s="157">
        <f>Dim!D7</f>
        <v>0</v>
      </c>
      <c r="D11" s="396">
        <f>Dim!E7</f>
        <v>0</v>
      </c>
      <c r="E11" s="554"/>
      <c r="F11" s="554"/>
      <c r="G11" s="554"/>
      <c r="H11" s="554"/>
      <c r="I11" s="554"/>
      <c r="J11" s="554"/>
      <c r="K11" s="554"/>
      <c r="L11" s="554"/>
      <c r="M11" s="554"/>
      <c r="N11" s="554"/>
    </row>
    <row r="12" spans="1:14">
      <c r="A12" s="154" t="s">
        <v>264</v>
      </c>
      <c r="B12" s="154"/>
      <c r="C12" s="157">
        <f>Dim!D8</f>
        <v>0</v>
      </c>
      <c r="D12" s="396">
        <f>Dim!E8</f>
        <v>0</v>
      </c>
      <c r="E12" s="554"/>
      <c r="F12" s="554"/>
      <c r="G12" s="554"/>
      <c r="H12" s="554"/>
      <c r="I12" s="554"/>
      <c r="J12" s="554"/>
      <c r="K12" s="554"/>
      <c r="L12" s="554"/>
      <c r="M12" s="554"/>
      <c r="N12" s="554"/>
    </row>
    <row r="13" spans="1:14" ht="15">
      <c r="A13" s="36" t="s">
        <v>1614</v>
      </c>
      <c r="B13" s="554"/>
      <c r="C13" s="568">
        <f>tfa</f>
        <v>126</v>
      </c>
      <c r="D13" s="555"/>
      <c r="E13" s="554"/>
      <c r="F13" s="554"/>
      <c r="G13" s="554"/>
      <c r="H13" s="554"/>
      <c r="I13" s="554"/>
      <c r="J13" s="554"/>
      <c r="K13" s="554"/>
      <c r="L13" s="554"/>
      <c r="M13" s="554"/>
      <c r="N13" s="554"/>
    </row>
    <row r="14" spans="1:14" ht="15">
      <c r="A14" s="36" t="s">
        <v>1615</v>
      </c>
      <c r="B14" s="554"/>
      <c r="C14" s="568">
        <f>volume</f>
        <v>321.3</v>
      </c>
      <c r="D14" s="555"/>
      <c r="E14" s="554"/>
      <c r="F14" s="554"/>
      <c r="G14" s="554"/>
      <c r="H14" s="554"/>
      <c r="I14" s="554"/>
      <c r="J14" s="554"/>
      <c r="K14" s="554"/>
      <c r="L14" s="554"/>
      <c r="M14" s="554"/>
      <c r="N14" s="554"/>
    </row>
    <row r="15" spans="1:14" ht="14.5">
      <c r="A15" s="154" t="s">
        <v>1616</v>
      </c>
      <c r="B15" s="554"/>
      <c r="C15" s="586">
        <f>Dim!D13</f>
        <v>31.5</v>
      </c>
      <c r="D15" s="555"/>
      <c r="E15" s="554"/>
      <c r="F15" s="554"/>
      <c r="G15" s="554"/>
      <c r="H15" s="554"/>
      <c r="I15" s="554"/>
      <c r="J15" s="554"/>
      <c r="K15" s="554"/>
      <c r="L15" s="554"/>
      <c r="M15" s="554"/>
      <c r="N15" s="554"/>
    </row>
    <row r="16" spans="1:14">
      <c r="A16" s="154"/>
      <c r="B16" s="554"/>
      <c r="C16" s="574"/>
      <c r="D16" s="554"/>
      <c r="E16" s="554"/>
      <c r="F16" s="554"/>
      <c r="G16" s="554"/>
      <c r="H16" s="554"/>
      <c r="I16" s="554"/>
      <c r="J16" s="554"/>
      <c r="K16" s="554"/>
      <c r="L16" s="554"/>
      <c r="M16" s="554"/>
      <c r="N16" s="554"/>
    </row>
    <row r="17" spans="1:14" ht="13">
      <c r="A17" s="9" t="s">
        <v>476</v>
      </c>
      <c r="B17" s="554"/>
      <c r="C17" s="554"/>
      <c r="D17" s="554"/>
      <c r="E17" s="554"/>
      <c r="F17" s="554"/>
      <c r="G17" s="554"/>
      <c r="H17" s="554"/>
      <c r="I17" s="554"/>
      <c r="J17" s="554"/>
      <c r="K17" s="554"/>
      <c r="L17" s="554"/>
      <c r="M17" s="554"/>
      <c r="N17" s="554"/>
    </row>
    <row r="18" spans="1:14">
      <c r="A18" s="554" t="s">
        <v>274</v>
      </c>
      <c r="B18" s="554"/>
      <c r="C18" s="554"/>
      <c r="D18" s="554"/>
      <c r="E18" s="554"/>
      <c r="F18" s="555">
        <f>Vent!F4</f>
        <v>0</v>
      </c>
      <c r="G18" s="555"/>
      <c r="H18" s="554"/>
      <c r="I18" s="554"/>
      <c r="J18" s="554"/>
      <c r="K18" s="554"/>
      <c r="L18" s="554"/>
      <c r="M18" s="554"/>
      <c r="N18" s="554"/>
    </row>
    <row r="19" spans="1:14">
      <c r="A19" s="554" t="s">
        <v>275</v>
      </c>
      <c r="B19" s="554"/>
      <c r="C19" s="554"/>
      <c r="D19" s="554"/>
      <c r="E19" s="554"/>
      <c r="F19" s="555">
        <f>Vent!F5</f>
        <v>0</v>
      </c>
      <c r="G19" s="555"/>
      <c r="H19" s="554"/>
      <c r="I19" s="554"/>
      <c r="J19" s="554"/>
      <c r="K19" s="554"/>
      <c r="L19" s="554"/>
      <c r="M19" s="554"/>
      <c r="N19" s="554"/>
    </row>
    <row r="20" spans="1:14">
      <c r="A20" s="554" t="s">
        <v>276</v>
      </c>
      <c r="B20" s="554"/>
      <c r="C20" s="554"/>
      <c r="D20" s="554"/>
      <c r="E20" s="554"/>
      <c r="F20" s="555">
        <f>Vent!F6</f>
        <v>3</v>
      </c>
      <c r="G20" s="555"/>
      <c r="H20" s="554"/>
      <c r="I20" s="554"/>
      <c r="J20" s="554"/>
      <c r="K20" s="554"/>
      <c r="L20" s="554"/>
      <c r="M20" s="554"/>
      <c r="N20" s="554"/>
    </row>
    <row r="21" spans="1:14">
      <c r="A21" s="554" t="s">
        <v>1617</v>
      </c>
      <c r="B21" s="554"/>
      <c r="C21" s="554"/>
      <c r="D21" s="554"/>
      <c r="E21" s="554"/>
      <c r="F21" s="555">
        <f>Vent!F7</f>
        <v>0</v>
      </c>
      <c r="G21" s="555"/>
      <c r="H21" s="554"/>
      <c r="I21" s="554"/>
      <c r="J21" s="554"/>
      <c r="K21" s="554"/>
      <c r="L21" s="554"/>
      <c r="M21" s="554"/>
      <c r="N21" s="554"/>
    </row>
    <row r="22" spans="1:14">
      <c r="A22" s="158" t="s">
        <v>279</v>
      </c>
      <c r="B22" s="554"/>
      <c r="C22" s="554"/>
      <c r="D22" s="554"/>
      <c r="E22" s="554"/>
      <c r="F22" s="555" t="str">
        <f>Vent!E9</f>
        <v>No</v>
      </c>
      <c r="G22" s="555"/>
      <c r="H22" s="554"/>
      <c r="I22" s="554"/>
      <c r="J22" s="554"/>
      <c r="K22" s="554"/>
      <c r="L22" s="554"/>
      <c r="M22" s="554"/>
      <c r="N22" s="554"/>
    </row>
    <row r="23" spans="1:14">
      <c r="A23" s="554" t="s">
        <v>282</v>
      </c>
      <c r="B23" s="554"/>
      <c r="C23" s="554"/>
      <c r="D23" s="554"/>
      <c r="E23" s="554"/>
      <c r="F23" s="555">
        <f>Vent!G13</f>
        <v>2</v>
      </c>
      <c r="G23" s="555"/>
      <c r="H23" s="554"/>
      <c r="I23" s="554"/>
      <c r="J23" s="554"/>
      <c r="K23" s="554"/>
      <c r="L23" s="554"/>
      <c r="M23" s="554"/>
      <c r="N23" s="554"/>
    </row>
    <row r="24" spans="1:14">
      <c r="A24" s="154" t="s">
        <v>283</v>
      </c>
      <c r="B24" s="554"/>
      <c r="C24" s="554"/>
      <c r="D24" s="554"/>
      <c r="E24" s="554"/>
      <c r="F24" s="555" t="str">
        <f>Vent!F14</f>
        <v>Yes</v>
      </c>
      <c r="G24" s="555">
        <f>Vent!G14</f>
        <v>1</v>
      </c>
      <c r="H24" s="554"/>
      <c r="I24" s="554"/>
      <c r="J24" s="554"/>
      <c r="K24" s="554"/>
      <c r="L24" s="554"/>
      <c r="M24" s="554"/>
      <c r="N24" s="554"/>
    </row>
    <row r="25" spans="1:14" ht="13">
      <c r="A25" s="576" t="s">
        <v>1618</v>
      </c>
      <c r="B25" s="554" t="str">
        <f>IF(G24,"Not applicable",":")</f>
        <v>Not applicable</v>
      </c>
      <c r="C25" s="554"/>
      <c r="D25" s="554"/>
      <c r="E25" s="554"/>
      <c r="F25" s="555"/>
      <c r="G25" s="555"/>
      <c r="H25" s="554"/>
      <c r="I25" s="554"/>
      <c r="J25" s="554"/>
      <c r="K25" s="554"/>
      <c r="L25" s="554"/>
      <c r="M25" s="554"/>
      <c r="N25" s="554"/>
    </row>
    <row r="26" spans="1:14">
      <c r="A26" s="554"/>
      <c r="B26" s="556" t="s">
        <v>285</v>
      </c>
      <c r="C26" s="572"/>
      <c r="D26" s="572"/>
      <c r="E26" s="572"/>
      <c r="F26" s="572"/>
      <c r="G26" s="571" t="str">
        <f>Vent!F16</f>
        <v>Masonry</v>
      </c>
      <c r="H26" s="554"/>
      <c r="I26" s="554"/>
      <c r="J26" s="554"/>
      <c r="K26" s="554"/>
      <c r="L26" s="554"/>
      <c r="M26" s="554"/>
      <c r="N26" s="554"/>
    </row>
    <row r="27" spans="1:14">
      <c r="A27" s="554"/>
      <c r="B27" s="569" t="s">
        <v>287</v>
      </c>
      <c r="C27" s="554"/>
      <c r="D27" s="554"/>
      <c r="E27" s="554"/>
      <c r="F27" s="554"/>
      <c r="G27" s="567" t="str">
        <f>Vent!F17</f>
        <v>None</v>
      </c>
      <c r="H27" s="554"/>
      <c r="I27" s="554"/>
      <c r="J27" s="554"/>
      <c r="K27" s="554"/>
      <c r="L27" s="554"/>
      <c r="M27" s="554"/>
      <c r="N27" s="554"/>
    </row>
    <row r="28" spans="1:14">
      <c r="A28" s="554"/>
      <c r="B28" s="578" t="s">
        <v>288</v>
      </c>
      <c r="C28" s="566"/>
      <c r="D28" s="566"/>
      <c r="E28" s="566"/>
      <c r="F28" s="566"/>
      <c r="G28" s="577">
        <f>Vent!G18</f>
        <v>100</v>
      </c>
      <c r="H28" s="554"/>
      <c r="I28" s="554"/>
      <c r="J28" s="554"/>
      <c r="K28" s="554"/>
      <c r="L28" s="554"/>
      <c r="M28" s="554"/>
      <c r="N28" s="554"/>
    </row>
    <row r="29" spans="1:14" ht="13">
      <c r="A29" s="576" t="s">
        <v>318</v>
      </c>
      <c r="B29" s="554" t="str">
        <f>IF(G24=0,"Not applicable",":")</f>
        <v>:</v>
      </c>
      <c r="C29" s="554"/>
      <c r="D29" s="554"/>
      <c r="E29" s="554"/>
      <c r="F29" s="554"/>
      <c r="G29" s="554"/>
      <c r="H29" s="554"/>
      <c r="I29" s="554"/>
      <c r="J29" s="554"/>
      <c r="K29" s="554"/>
      <c r="L29" s="554"/>
      <c r="M29" s="554"/>
      <c r="N29" s="554"/>
    </row>
    <row r="30" spans="1:14">
      <c r="A30" s="554"/>
      <c r="B30" s="592" t="s">
        <v>1619</v>
      </c>
      <c r="C30" s="591"/>
      <c r="D30" s="591"/>
      <c r="E30" s="591"/>
      <c r="F30" s="591"/>
      <c r="G30" s="590">
        <f>Vent!H22</f>
        <v>5</v>
      </c>
      <c r="H30" s="554"/>
      <c r="I30" s="554"/>
      <c r="J30" s="554"/>
      <c r="K30" s="554"/>
      <c r="L30" s="554"/>
      <c r="M30" s="554"/>
      <c r="N30" s="554"/>
    </row>
    <row r="31" spans="1:14" ht="13">
      <c r="A31" s="576" t="s">
        <v>326</v>
      </c>
      <c r="B31" s="554"/>
      <c r="C31" s="554"/>
      <c r="D31" s="554"/>
      <c r="E31" s="554"/>
      <c r="F31" s="554"/>
      <c r="G31" s="554"/>
      <c r="H31" s="554"/>
      <c r="I31" s="554"/>
      <c r="J31" s="554"/>
      <c r="K31" s="554"/>
      <c r="L31" s="554"/>
      <c r="M31" s="554"/>
      <c r="N31" s="554"/>
    </row>
    <row r="32" spans="1:14">
      <c r="A32" s="554" t="s">
        <v>300</v>
      </c>
      <c r="B32" s="554"/>
      <c r="C32" s="554"/>
      <c r="D32" s="554"/>
      <c r="E32" s="554"/>
      <c r="F32" s="555">
        <f>Vent!G28</f>
        <v>2</v>
      </c>
      <c r="G32" s="554"/>
      <c r="H32" s="554"/>
      <c r="I32" s="554"/>
      <c r="J32" s="554"/>
      <c r="K32" s="554"/>
      <c r="L32" s="554"/>
      <c r="M32" s="554"/>
      <c r="N32" s="554"/>
    </row>
    <row r="33" spans="1:14">
      <c r="A33" s="554" t="s">
        <v>303</v>
      </c>
      <c r="B33" s="554"/>
      <c r="C33" s="554"/>
      <c r="D33" s="554"/>
      <c r="E33" s="554"/>
      <c r="F33" s="589" t="str">
        <f>Vent!D31</f>
        <v>Natural ventilation</v>
      </c>
      <c r="G33" s="554"/>
      <c r="H33" s="554"/>
      <c r="I33" s="554"/>
      <c r="J33" s="554"/>
      <c r="K33" s="554"/>
      <c r="L33" s="554"/>
      <c r="M33" s="555">
        <f>Vent!K31</f>
        <v>1</v>
      </c>
      <c r="N33" s="554"/>
    </row>
    <row r="34" spans="1:14" ht="13">
      <c r="A34" s="576" t="s">
        <v>308</v>
      </c>
      <c r="B34" s="554"/>
      <c r="C34" s="554"/>
      <c r="D34" s="554"/>
      <c r="E34" s="554"/>
      <c r="F34" s="559">
        <f>Vent!G33</f>
        <v>0.55590000314940791</v>
      </c>
      <c r="G34" s="554"/>
      <c r="H34" s="554"/>
      <c r="I34" s="554"/>
      <c r="J34" s="554"/>
      <c r="K34" s="554"/>
      <c r="L34" s="554"/>
      <c r="M34" s="554"/>
      <c r="N34" s="554"/>
    </row>
    <row r="35" spans="1:14" ht="13">
      <c r="A35" s="576" t="s">
        <v>311</v>
      </c>
      <c r="B35" s="554"/>
      <c r="C35" s="554"/>
      <c r="D35" s="554"/>
      <c r="E35" s="554"/>
      <c r="F35" s="568">
        <f>Vent!G34</f>
        <v>58.941521433928571</v>
      </c>
      <c r="G35" s="554"/>
      <c r="H35" s="554"/>
      <c r="I35" s="554"/>
      <c r="J35" s="554"/>
      <c r="K35" s="554"/>
      <c r="L35" s="554"/>
      <c r="M35" s="554"/>
      <c r="N35" s="554"/>
    </row>
    <row r="36" spans="1:14">
      <c r="A36" s="554" t="str">
        <f>Vent!H24</f>
        <v>Permeability test carried out and meets guidelines in TGD L?</v>
      </c>
      <c r="B36" s="554"/>
      <c r="C36" s="554"/>
      <c r="D36" s="554"/>
      <c r="E36" s="554"/>
      <c r="F36" s="554"/>
      <c r="G36" s="554" t="str">
        <f>Vent!M24</f>
        <v>Complies</v>
      </c>
      <c r="H36" s="554"/>
      <c r="I36" s="554"/>
      <c r="J36" s="554"/>
      <c r="K36" s="554"/>
      <c r="L36" s="554"/>
      <c r="M36" s="554"/>
      <c r="N36" s="554"/>
    </row>
    <row r="37" spans="1:14">
      <c r="A37" s="154" t="s">
        <v>1620</v>
      </c>
      <c r="B37" s="554"/>
      <c r="C37" s="554"/>
      <c r="D37" s="554"/>
      <c r="E37" s="554"/>
      <c r="F37" s="554"/>
      <c r="G37" s="554"/>
      <c r="H37" s="554" t="str">
        <f>IF(M33&lt;3,"Not applicable",":")</f>
        <v>Not applicable</v>
      </c>
      <c r="I37" s="554"/>
      <c r="J37" s="554"/>
      <c r="K37" s="554"/>
      <c r="L37" s="554"/>
      <c r="M37" s="554"/>
      <c r="N37" s="554"/>
    </row>
    <row r="38" spans="1:14">
      <c r="A38" s="556"/>
      <c r="B38" s="572" t="s">
        <v>317</v>
      </c>
      <c r="C38" s="572"/>
      <c r="D38" s="572"/>
      <c r="E38" s="572"/>
      <c r="F38" s="572"/>
      <c r="G38" s="572"/>
      <c r="H38" s="572"/>
      <c r="I38" s="571" t="str">
        <f>Vent!H37</f>
        <v>Yes</v>
      </c>
      <c r="J38" s="554"/>
      <c r="K38" s="554"/>
      <c r="L38" s="554"/>
      <c r="M38" s="554"/>
      <c r="N38" s="554"/>
    </row>
    <row r="39" spans="1:14">
      <c r="A39" s="569"/>
      <c r="B39" s="554" t="s">
        <v>319</v>
      </c>
      <c r="C39" s="554"/>
      <c r="D39" s="554"/>
      <c r="E39" s="554"/>
      <c r="F39" s="554"/>
      <c r="G39" s="554"/>
      <c r="H39" s="554"/>
      <c r="I39" s="582">
        <f>IF(I38="Yes",Vent!H39,"-")</f>
        <v>0</v>
      </c>
      <c r="J39" s="554"/>
      <c r="K39" s="554"/>
      <c r="L39" s="554"/>
      <c r="M39" s="554"/>
      <c r="N39" s="554"/>
    </row>
    <row r="40" spans="1:14">
      <c r="A40" s="569"/>
      <c r="B40" s="554" t="s">
        <v>323</v>
      </c>
      <c r="C40" s="554"/>
      <c r="D40" s="554"/>
      <c r="E40" s="554"/>
      <c r="F40" s="554"/>
      <c r="G40" s="554"/>
      <c r="H40" s="554"/>
      <c r="I40" s="582">
        <f>IF(I38="Yes",Vent!J41,"-")</f>
        <v>0.2</v>
      </c>
      <c r="J40" s="554"/>
      <c r="K40" s="554"/>
      <c r="L40" s="554"/>
      <c r="M40" s="554"/>
      <c r="N40" s="554"/>
    </row>
    <row r="41" spans="1:14">
      <c r="A41" s="578"/>
      <c r="B41" s="566" t="s">
        <v>325</v>
      </c>
      <c r="C41" s="566"/>
      <c r="D41" s="566"/>
      <c r="E41" s="566"/>
      <c r="F41" s="566"/>
      <c r="G41" s="566"/>
      <c r="H41" s="566"/>
      <c r="I41" s="577" t="str">
        <f>IF(AND(I38="Yes",M33=6),Vent!J43,"-")</f>
        <v>-</v>
      </c>
      <c r="J41" s="554"/>
      <c r="K41" s="554"/>
      <c r="L41" s="554"/>
      <c r="M41" s="554"/>
      <c r="N41" s="554"/>
    </row>
    <row r="42" spans="1:14">
      <c r="A42" s="554"/>
      <c r="B42" s="554"/>
      <c r="C42" s="554"/>
      <c r="D42" s="554"/>
      <c r="E42" s="554"/>
      <c r="F42" s="554"/>
      <c r="G42" s="554"/>
      <c r="H42" s="554"/>
      <c r="I42" s="554"/>
      <c r="J42" s="554"/>
      <c r="K42" s="554"/>
      <c r="L42" s="554"/>
      <c r="M42" s="554"/>
      <c r="N42" s="554"/>
    </row>
    <row r="43" spans="1:14" ht="13">
      <c r="A43" s="557" t="s">
        <v>1621</v>
      </c>
      <c r="B43" s="554"/>
      <c r="C43" s="554"/>
      <c r="D43" s="554"/>
      <c r="E43" s="554"/>
      <c r="F43" s="554"/>
      <c r="G43" s="554"/>
      <c r="H43" s="554"/>
      <c r="I43" s="554"/>
      <c r="J43" s="554"/>
      <c r="K43" s="554"/>
      <c r="L43" s="554"/>
      <c r="M43" s="554"/>
      <c r="N43" s="554"/>
    </row>
    <row r="44" spans="1:14">
      <c r="A44" s="554" t="s">
        <v>357</v>
      </c>
      <c r="B44" s="554"/>
      <c r="C44" s="554"/>
      <c r="D44" s="554"/>
      <c r="E44" s="555" t="str">
        <f>Win!E4</f>
        <v>East/West</v>
      </c>
      <c r="F44" s="555" t="str">
        <f>Win!F4</f>
        <v>South</v>
      </c>
      <c r="G44" s="555" t="str">
        <f>Win!G4</f>
        <v>North</v>
      </c>
      <c r="H44" s="555" t="str">
        <f>Win!H4</f>
        <v>SE/SW</v>
      </c>
      <c r="I44" s="555" t="str">
        <f>Win!I4</f>
        <v>South</v>
      </c>
      <c r="J44" s="555" t="str">
        <f>Win!J4</f>
        <v>North</v>
      </c>
      <c r="K44" s="555" t="str">
        <f>Win!K4</f>
        <v>North</v>
      </c>
      <c r="L44" s="555" t="str">
        <f>Win!L4</f>
        <v>North</v>
      </c>
      <c r="M44" s="555" t="str">
        <f>Win!M4</f>
        <v>Horizontal</v>
      </c>
      <c r="N44" s="554"/>
    </row>
    <row r="45" spans="1:14">
      <c r="A45" s="554" t="s">
        <v>363</v>
      </c>
      <c r="B45" s="554"/>
      <c r="C45" s="554"/>
      <c r="D45" s="554"/>
      <c r="E45" s="555">
        <f>Win!E5</f>
        <v>3</v>
      </c>
      <c r="F45" s="555">
        <f>Win!F5</f>
        <v>5</v>
      </c>
      <c r="G45" s="555">
        <f>Win!G5</f>
        <v>1</v>
      </c>
      <c r="H45" s="555">
        <f>Win!H5</f>
        <v>4</v>
      </c>
      <c r="I45" s="555">
        <f>Win!I5</f>
        <v>5</v>
      </c>
      <c r="J45" s="555">
        <f>Win!J5</f>
        <v>1</v>
      </c>
      <c r="K45" s="555">
        <f>Win!K5</f>
        <v>1</v>
      </c>
      <c r="L45" s="555">
        <f>Win!L5</f>
        <v>1</v>
      </c>
      <c r="M45" s="555">
        <f>Win!M5</f>
        <v>6</v>
      </c>
      <c r="N45" s="554"/>
    </row>
    <row r="46" spans="1:14" ht="14.5">
      <c r="A46" s="554" t="s">
        <v>364</v>
      </c>
      <c r="B46" s="554"/>
      <c r="C46" s="554"/>
      <c r="D46" s="554"/>
      <c r="E46" s="555">
        <f>Win!E6</f>
        <v>28.7</v>
      </c>
      <c r="F46" s="555">
        <f>Win!F6</f>
        <v>0</v>
      </c>
      <c r="G46" s="555">
        <f>Win!G6</f>
        <v>0.9</v>
      </c>
      <c r="H46" s="555">
        <f>Win!H6</f>
        <v>0</v>
      </c>
      <c r="I46" s="555">
        <f>Win!I6</f>
        <v>0</v>
      </c>
      <c r="J46" s="555">
        <f>Win!J6</f>
        <v>0</v>
      </c>
      <c r="K46" s="555">
        <f>Win!K6</f>
        <v>0</v>
      </c>
      <c r="L46" s="555">
        <f>Win!L6</f>
        <v>0</v>
      </c>
      <c r="M46" s="555">
        <f>Win!M6</f>
        <v>0</v>
      </c>
      <c r="N46" s="588"/>
    </row>
    <row r="47" spans="1:14" ht="14.5">
      <c r="A47" s="554" t="s">
        <v>367</v>
      </c>
      <c r="B47" s="554"/>
      <c r="C47" s="554"/>
      <c r="D47" s="554"/>
      <c r="E47" s="559">
        <f>Win!E9</f>
        <v>0.9</v>
      </c>
      <c r="F47" s="559">
        <f>Win!F9</f>
        <v>0.9</v>
      </c>
      <c r="G47" s="559">
        <f>Win!G9</f>
        <v>0.9</v>
      </c>
      <c r="H47" s="559">
        <f>Win!H9</f>
        <v>0</v>
      </c>
      <c r="I47" s="559">
        <f>Win!I9</f>
        <v>0</v>
      </c>
      <c r="J47" s="559">
        <f>Win!J9</f>
        <v>0</v>
      </c>
      <c r="K47" s="559">
        <f>Win!K9</f>
        <v>0</v>
      </c>
      <c r="L47" s="559">
        <f>Win!L9</f>
        <v>0</v>
      </c>
      <c r="M47" s="559">
        <f>Win!M9</f>
        <v>0</v>
      </c>
      <c r="N47" s="554"/>
    </row>
    <row r="48" spans="1:14">
      <c r="A48" s="554" t="s">
        <v>368</v>
      </c>
      <c r="B48" s="554"/>
      <c r="C48" s="554"/>
      <c r="D48" s="554"/>
      <c r="E48" s="559" t="str">
        <f>Win!E10</f>
        <v>Yes</v>
      </c>
      <c r="F48" s="559" t="str">
        <f>Win!F10</f>
        <v>Yes</v>
      </c>
      <c r="G48" s="559" t="str">
        <f>Win!G10</f>
        <v>Yes</v>
      </c>
      <c r="H48" s="559" t="str">
        <f>Win!H10</f>
        <v>-</v>
      </c>
      <c r="I48" s="559" t="str">
        <f>Win!I10</f>
        <v>-</v>
      </c>
      <c r="J48" s="559" t="str">
        <f>Win!J10</f>
        <v>-</v>
      </c>
      <c r="K48" s="559" t="str">
        <f>Win!K10</f>
        <v>-</v>
      </c>
      <c r="L48" s="559" t="str">
        <f>Win!L10</f>
        <v>-</v>
      </c>
      <c r="M48" s="559" t="str">
        <f>Win!M10</f>
        <v>-</v>
      </c>
      <c r="N48" s="554"/>
    </row>
    <row r="49" spans="1:14" ht="13">
      <c r="A49" s="576" t="s">
        <v>369</v>
      </c>
      <c r="B49" s="554"/>
      <c r="C49" s="554"/>
      <c r="D49" s="554"/>
      <c r="E49" s="559"/>
      <c r="F49" s="559"/>
      <c r="G49" s="559"/>
      <c r="H49" s="559"/>
      <c r="I49" s="559"/>
      <c r="J49" s="559"/>
      <c r="K49" s="559"/>
      <c r="L49" s="559"/>
      <c r="M49" s="559"/>
      <c r="N49" s="554"/>
    </row>
    <row r="50" spans="1:14">
      <c r="A50" s="554"/>
      <c r="B50" s="554" t="s">
        <v>319</v>
      </c>
      <c r="C50" s="554"/>
      <c r="D50" s="554"/>
      <c r="E50" s="555" t="str">
        <f>IF(ISBLANK(Win!E12),"-",Win!E12)</f>
        <v>-</v>
      </c>
      <c r="F50" s="555" t="str">
        <f>IF(ISBLANK(Win!F12),"-",Win!F12)</f>
        <v>-</v>
      </c>
      <c r="G50" s="555" t="str">
        <f>IF(ISBLANK(Win!G12),"-",Win!G12)</f>
        <v>-</v>
      </c>
      <c r="H50" s="555" t="str">
        <f>IF(ISBLANK(Win!H12),"-",Win!H12)</f>
        <v>-</v>
      </c>
      <c r="I50" s="555" t="str">
        <f>IF(ISBLANK(Win!I12),"-",Win!I12)</f>
        <v>-</v>
      </c>
      <c r="J50" s="555" t="str">
        <f>IF(ISBLANK(Win!J12),"-",Win!J12)</f>
        <v>-</v>
      </c>
      <c r="K50" s="555" t="str">
        <f>IF(ISBLANK(Win!K12),"-",Win!K12)</f>
        <v>-</v>
      </c>
      <c r="L50" s="555" t="str">
        <f>IF(ISBLANK(Win!L12),"-",Win!L12)</f>
        <v>-</v>
      </c>
      <c r="M50" s="555" t="str">
        <f>IF(ISBLANK(Win!M12),"-",Win!M12)</f>
        <v>-</v>
      </c>
      <c r="N50" s="554"/>
    </row>
    <row r="51" spans="1:14">
      <c r="A51" s="554"/>
      <c r="B51" s="554" t="s">
        <v>370</v>
      </c>
      <c r="C51" s="554"/>
      <c r="D51" s="554"/>
      <c r="E51" s="555">
        <f>IF(ISBLANK(Win!E13),"-",Win!E13)</f>
        <v>0.6</v>
      </c>
      <c r="F51" s="555">
        <f>IF(ISBLANK(Win!F13),"-",Win!F13)</f>
        <v>0.6</v>
      </c>
      <c r="G51" s="555">
        <f>IF(ISBLANK(Win!G13),"-",Win!G13)</f>
        <v>0.6</v>
      </c>
      <c r="H51" s="555" t="str">
        <f>IF(ISBLANK(Win!H13),"-",Win!H13)</f>
        <v>-</v>
      </c>
      <c r="I51" s="555" t="str">
        <f>IF(ISBLANK(Win!I13),"-",Win!I13)</f>
        <v>-</v>
      </c>
      <c r="J51" s="555" t="str">
        <f>IF(ISBLANK(Win!J13),"-",Win!J13)</f>
        <v>-</v>
      </c>
      <c r="K51" s="555" t="str">
        <f>IF(ISBLANK(Win!K13),"-",Win!K13)</f>
        <v>-</v>
      </c>
      <c r="L51" s="555" t="str">
        <f>IF(ISBLANK(Win!L13),"-",Win!L13)</f>
        <v>-</v>
      </c>
      <c r="M51" s="555" t="str">
        <f>IF(ISBLANK(Win!M13),"-",Win!M13)</f>
        <v>-</v>
      </c>
      <c r="N51" s="554"/>
    </row>
    <row r="52" spans="1:14" ht="13">
      <c r="A52" s="576" t="s">
        <v>326</v>
      </c>
      <c r="B52" s="554"/>
      <c r="C52" s="554"/>
      <c r="D52" s="554"/>
      <c r="E52" s="555"/>
      <c r="F52" s="555"/>
      <c r="G52" s="555"/>
      <c r="H52" s="555"/>
      <c r="I52" s="555"/>
      <c r="J52" s="555"/>
      <c r="K52" s="555"/>
      <c r="L52" s="555"/>
      <c r="M52" s="555"/>
      <c r="N52" s="554"/>
    </row>
    <row r="53" spans="1:14">
      <c r="A53" s="554" t="s">
        <v>1622</v>
      </c>
      <c r="B53" s="554"/>
      <c r="C53" s="554"/>
      <c r="D53" s="554"/>
      <c r="E53" s="554"/>
      <c r="F53" s="554"/>
      <c r="G53" s="554"/>
      <c r="H53" s="554"/>
      <c r="I53" s="554"/>
      <c r="J53" s="554"/>
      <c r="K53" s="554"/>
      <c r="L53" s="554"/>
      <c r="M53" s="554"/>
      <c r="N53" s="554"/>
    </row>
    <row r="54" spans="1:14">
      <c r="A54" s="554"/>
      <c r="B54" s="554"/>
      <c r="C54" s="554"/>
      <c r="D54" s="554"/>
      <c r="E54" s="555">
        <f>Win!E16</f>
        <v>0</v>
      </c>
      <c r="F54" s="555">
        <f>Win!F16</f>
        <v>0</v>
      </c>
      <c r="G54" s="555">
        <f>Win!G16</f>
        <v>0</v>
      </c>
      <c r="H54" s="555">
        <f>Win!H16</f>
        <v>0</v>
      </c>
      <c r="I54" s="555">
        <f>Win!I16</f>
        <v>0</v>
      </c>
      <c r="J54" s="555">
        <f>Win!J16</f>
        <v>0</v>
      </c>
      <c r="K54" s="555">
        <f>Win!K16</f>
        <v>0</v>
      </c>
      <c r="L54" s="555">
        <f>Win!L16</f>
        <v>0</v>
      </c>
      <c r="M54" s="555">
        <f>Win!M16</f>
        <v>0</v>
      </c>
      <c r="N54" s="554"/>
    </row>
    <row r="55" spans="1:14">
      <c r="A55" s="554" t="s">
        <v>1623</v>
      </c>
      <c r="B55" s="554"/>
      <c r="C55" s="554"/>
      <c r="D55" s="554"/>
      <c r="E55" s="555">
        <f>Win!E22</f>
        <v>2</v>
      </c>
      <c r="F55" s="555">
        <f>Win!F22</f>
        <v>2</v>
      </c>
      <c r="G55" s="555">
        <f>Win!G22</f>
        <v>2</v>
      </c>
      <c r="H55" s="555">
        <f>Win!H22</f>
        <v>0</v>
      </c>
      <c r="I55" s="555">
        <f>Win!I22</f>
        <v>0</v>
      </c>
      <c r="J55" s="555">
        <f>Win!J22</f>
        <v>0</v>
      </c>
      <c r="K55" s="555">
        <f>Win!K22</f>
        <v>0</v>
      </c>
      <c r="L55" s="555">
        <f>Win!L22</f>
        <v>0</v>
      </c>
      <c r="M55" s="555">
        <f>Win!M22</f>
        <v>0</v>
      </c>
      <c r="N55" s="554"/>
    </row>
    <row r="56" spans="1:14">
      <c r="A56" s="554" t="s">
        <v>380</v>
      </c>
      <c r="B56" s="554"/>
      <c r="C56" s="554"/>
      <c r="D56" s="554"/>
      <c r="E56" s="559">
        <f>Win!E25</f>
        <v>0.7</v>
      </c>
      <c r="F56" s="559">
        <f>Win!F25</f>
        <v>0.7</v>
      </c>
      <c r="G56" s="559">
        <f>Win!G25</f>
        <v>0.7</v>
      </c>
      <c r="H56" s="559">
        <f>Win!H25</f>
        <v>0</v>
      </c>
      <c r="I56" s="559">
        <f>Win!I25</f>
        <v>0</v>
      </c>
      <c r="J56" s="559">
        <f>Win!J25</f>
        <v>0</v>
      </c>
      <c r="K56" s="559">
        <f>Win!K25</f>
        <v>0</v>
      </c>
      <c r="L56" s="559">
        <f>Win!L25</f>
        <v>0</v>
      </c>
      <c r="M56" s="559">
        <f>Win!M25</f>
        <v>0</v>
      </c>
      <c r="N56" s="554"/>
    </row>
    <row r="57" spans="1:14">
      <c r="A57" s="554" t="s">
        <v>1624</v>
      </c>
      <c r="B57" s="554"/>
      <c r="C57" s="554"/>
      <c r="D57" s="554"/>
      <c r="E57" s="555">
        <f>Win!E26</f>
        <v>7</v>
      </c>
      <c r="F57" s="555">
        <f>Win!F26</f>
        <v>7</v>
      </c>
      <c r="G57" s="555">
        <f>Win!G26</f>
        <v>7</v>
      </c>
      <c r="H57" s="555">
        <f>Win!H26</f>
        <v>0</v>
      </c>
      <c r="I57" s="555">
        <f>Win!I26</f>
        <v>0</v>
      </c>
      <c r="J57" s="555">
        <f>Win!J26</f>
        <v>0</v>
      </c>
      <c r="K57" s="555">
        <f>Win!K26</f>
        <v>0</v>
      </c>
      <c r="L57" s="555">
        <f>Win!L26</f>
        <v>0</v>
      </c>
      <c r="M57" s="555">
        <f>Win!M26</f>
        <v>0</v>
      </c>
      <c r="N57" s="554"/>
    </row>
    <row r="58" spans="1:14">
      <c r="A58" s="554"/>
      <c r="B58" s="554"/>
      <c r="C58" s="554"/>
      <c r="D58" s="554"/>
      <c r="E58" s="554"/>
      <c r="F58" s="554"/>
      <c r="G58" s="554"/>
      <c r="H58" s="554"/>
      <c r="I58" s="554"/>
      <c r="J58" s="554"/>
      <c r="K58" s="554"/>
      <c r="L58" s="554"/>
      <c r="M58" s="554"/>
      <c r="N58" s="554"/>
    </row>
    <row r="59" spans="1:14" ht="13">
      <c r="A59" s="557" t="s">
        <v>475</v>
      </c>
      <c r="B59" s="554"/>
      <c r="C59" s="554"/>
      <c r="D59" s="554"/>
      <c r="E59" s="554"/>
      <c r="F59" s="554"/>
      <c r="G59" s="554"/>
      <c r="H59" s="554"/>
      <c r="I59" s="554"/>
      <c r="J59" s="554"/>
      <c r="K59" s="554"/>
      <c r="L59" s="554"/>
      <c r="M59" s="554"/>
      <c r="N59" s="554"/>
    </row>
    <row r="60" spans="1:14" ht="13">
      <c r="A60" s="554" t="s">
        <v>439</v>
      </c>
      <c r="B60" s="554"/>
      <c r="C60" s="554"/>
      <c r="D60" s="555" t="s">
        <v>255</v>
      </c>
      <c r="E60" s="555" t="s">
        <v>440</v>
      </c>
      <c r="F60" s="587" t="s">
        <v>441</v>
      </c>
      <c r="G60" s="554" t="s">
        <v>442</v>
      </c>
      <c r="H60" s="554"/>
      <c r="I60" s="554"/>
      <c r="J60" s="154" t="s">
        <v>443</v>
      </c>
      <c r="K60" s="554"/>
      <c r="L60" s="554"/>
      <c r="M60" s="554"/>
      <c r="N60" s="554"/>
    </row>
    <row r="61" spans="1:14" ht="15">
      <c r="A61" s="554" t="s">
        <v>206</v>
      </c>
      <c r="B61" s="554"/>
      <c r="C61" s="554"/>
      <c r="D61" s="555" t="s">
        <v>258</v>
      </c>
      <c r="E61" s="555" t="s">
        <v>444</v>
      </c>
      <c r="F61" s="587" t="s">
        <v>445</v>
      </c>
      <c r="G61" s="554" t="s">
        <v>206</v>
      </c>
      <c r="H61" s="554"/>
      <c r="I61" s="554"/>
      <c r="J61" s="154" t="s">
        <v>446</v>
      </c>
      <c r="K61" s="554"/>
      <c r="L61" s="554"/>
      <c r="M61" s="554"/>
      <c r="N61" s="554"/>
    </row>
    <row r="62" spans="1:14" ht="13">
      <c r="A62" s="576" t="s">
        <v>448</v>
      </c>
      <c r="B62" s="554"/>
      <c r="C62" s="554"/>
      <c r="D62" s="586">
        <f>Fab!D5</f>
        <v>29.599999999999998</v>
      </c>
      <c r="E62" s="586">
        <f>Fab!E5</f>
        <v>0.86872586872586854</v>
      </c>
      <c r="F62" s="586">
        <f>Fab!F5</f>
        <v>25.714285714285708</v>
      </c>
      <c r="G62" s="554" t="str">
        <f>IF(ISBLANK(Fab!G5),"-",Fab!G5)</f>
        <v>-</v>
      </c>
      <c r="H62" s="554"/>
      <c r="I62" s="554"/>
      <c r="J62" s="554"/>
      <c r="K62" s="554"/>
      <c r="L62" s="554"/>
      <c r="M62" s="554"/>
      <c r="N62" s="554"/>
    </row>
    <row r="63" spans="1:14">
      <c r="A63" s="554" t="s">
        <v>449</v>
      </c>
      <c r="B63" s="554"/>
      <c r="C63" s="554"/>
      <c r="D63" s="586">
        <f>Fab!D6</f>
        <v>1.85</v>
      </c>
      <c r="E63" s="586">
        <f>Fab!E6</f>
        <v>1.5</v>
      </c>
      <c r="F63" s="586">
        <f>Fab!F6</f>
        <v>2.7750000000000004</v>
      </c>
      <c r="G63" s="554" t="str">
        <f>IF(ISBLANK(Fab!G6),"-",Fab!G6)</f>
        <v>-</v>
      </c>
      <c r="H63" s="554"/>
      <c r="I63" s="554"/>
      <c r="J63" s="554"/>
      <c r="K63" s="554"/>
      <c r="L63" s="554"/>
      <c r="M63" s="554"/>
      <c r="N63" s="554"/>
    </row>
    <row r="64" spans="1:14">
      <c r="A64" s="554" t="s">
        <v>450</v>
      </c>
      <c r="B64" s="554"/>
      <c r="C64" s="554"/>
      <c r="D64" s="586">
        <f>Fab!D7</f>
        <v>63</v>
      </c>
      <c r="E64" s="586">
        <f>Fab!E7</f>
        <v>0.14000000000000001</v>
      </c>
      <c r="F64" s="586">
        <f>Fab!F7</f>
        <v>8.82</v>
      </c>
      <c r="G64" s="554" t="str">
        <f>IF(ISBLANK(Fab!G7),"-",Fab!G7)</f>
        <v>-</v>
      </c>
      <c r="H64" s="554"/>
      <c r="I64" s="554"/>
      <c r="J64" s="554" t="str">
        <f>Fab!J7</f>
        <v>No underfloor heating</v>
      </c>
      <c r="K64" s="554"/>
      <c r="L64" s="554"/>
      <c r="M64" s="554"/>
      <c r="N64" s="554"/>
    </row>
    <row r="65" spans="1:14">
      <c r="A65" s="554" t="s">
        <v>452</v>
      </c>
      <c r="B65" s="554"/>
      <c r="C65" s="554"/>
      <c r="D65" s="586">
        <f>Fab!D8</f>
        <v>0</v>
      </c>
      <c r="E65" s="586">
        <f>Fab!E8</f>
        <v>0</v>
      </c>
      <c r="F65" s="586">
        <f>Fab!F8</f>
        <v>0</v>
      </c>
      <c r="G65" s="554" t="str">
        <f>IF(ISBLANK(Fab!G8),"-",Fab!G8)</f>
        <v>-</v>
      </c>
      <c r="H65" s="554"/>
      <c r="I65" s="554"/>
      <c r="J65" s="554" t="str">
        <f>Fab!J8</f>
        <v>No underfloor heating</v>
      </c>
      <c r="K65" s="554"/>
      <c r="L65" s="554"/>
      <c r="M65" s="554"/>
      <c r="N65" s="554"/>
    </row>
    <row r="66" spans="1:14">
      <c r="A66" s="554" t="s">
        <v>453</v>
      </c>
      <c r="B66" s="554"/>
      <c r="C66" s="554"/>
      <c r="D66" s="586">
        <f>Fab!D9</f>
        <v>0</v>
      </c>
      <c r="E66" s="586">
        <f>Fab!E9</f>
        <v>0</v>
      </c>
      <c r="F66" s="586">
        <f>Fab!F9</f>
        <v>0</v>
      </c>
      <c r="G66" s="554" t="str">
        <f>IF(ISBLANK(Fab!G9),"-",Fab!G9)</f>
        <v>-</v>
      </c>
      <c r="H66" s="554"/>
      <c r="I66" s="554"/>
      <c r="J66" s="554" t="str">
        <f>Fab!J9</f>
        <v>No underfloor heating</v>
      </c>
      <c r="K66" s="554"/>
      <c r="L66" s="554"/>
      <c r="M66" s="554"/>
      <c r="N66" s="554"/>
    </row>
    <row r="67" spans="1:14">
      <c r="A67" s="554" t="s">
        <v>454</v>
      </c>
      <c r="B67" s="554"/>
      <c r="C67" s="554"/>
      <c r="D67" s="586">
        <f>Fab!D10</f>
        <v>85.7</v>
      </c>
      <c r="E67" s="586">
        <f>Fab!E10</f>
        <v>0.13</v>
      </c>
      <c r="F67" s="586">
        <f>Fab!F10</f>
        <v>11.141</v>
      </c>
      <c r="G67" s="554" t="str">
        <f>IF(ISBLANK(Fab!G10),"-",Fab!G10)</f>
        <v>-</v>
      </c>
      <c r="H67" s="554"/>
      <c r="I67" s="554"/>
      <c r="J67" s="554" t="str">
        <f>Fab!J10</f>
        <v>Wall relevant for TGD L fabric compliance check</v>
      </c>
      <c r="K67" s="554"/>
      <c r="L67" s="554"/>
      <c r="M67" s="554"/>
      <c r="N67" s="554"/>
    </row>
    <row r="68" spans="1:14">
      <c r="A68" s="554" t="s">
        <v>456</v>
      </c>
      <c r="B68" s="554"/>
      <c r="C68" s="554"/>
      <c r="D68" s="586">
        <f>Fab!D11</f>
        <v>0</v>
      </c>
      <c r="E68" s="586">
        <f>Fab!E11</f>
        <v>0</v>
      </c>
      <c r="F68" s="586">
        <f>Fab!F11</f>
        <v>0</v>
      </c>
      <c r="G68" s="554" t="str">
        <f>IF(ISBLANK(Fab!G11),"-",Fab!G11)</f>
        <v>-</v>
      </c>
      <c r="H68" s="554"/>
      <c r="I68" s="554"/>
      <c r="J68" s="554" t="str">
        <f>Fab!J11</f>
        <v>Wall relevant for TGD L fabric compliance check</v>
      </c>
      <c r="K68" s="554"/>
      <c r="L68" s="554"/>
      <c r="M68" s="554"/>
      <c r="N68" s="554"/>
    </row>
    <row r="69" spans="1:14">
      <c r="A69" s="554" t="s">
        <v>457</v>
      </c>
      <c r="B69" s="554"/>
      <c r="C69" s="554"/>
      <c r="D69" s="586">
        <f>Fab!D12</f>
        <v>0</v>
      </c>
      <c r="E69" s="586">
        <f>Fab!E12</f>
        <v>0</v>
      </c>
      <c r="F69" s="586">
        <f>Fab!F12</f>
        <v>0</v>
      </c>
      <c r="G69" s="554" t="str">
        <f>IF(ISBLANK(Fab!G12),"-",Fab!G12)</f>
        <v>-</v>
      </c>
      <c r="H69" s="554"/>
      <c r="I69" s="554"/>
      <c r="J69" s="554" t="str">
        <f>Fab!J12</f>
        <v>Wall relevant for TGD L fabric compliance check</v>
      </c>
      <c r="K69" s="554"/>
      <c r="L69" s="554"/>
      <c r="M69" s="554"/>
      <c r="N69" s="554"/>
    </row>
    <row r="70" spans="1:14">
      <c r="A70" s="554" t="s">
        <v>458</v>
      </c>
      <c r="B70" s="554"/>
      <c r="C70" s="554"/>
      <c r="D70" s="586">
        <f>Fab!D13</f>
        <v>0</v>
      </c>
      <c r="E70" s="586">
        <f>Fab!E13</f>
        <v>0</v>
      </c>
      <c r="F70" s="586">
        <f>Fab!F13</f>
        <v>0</v>
      </c>
      <c r="G70" s="554" t="str">
        <f>IF(ISBLANK(Fab!G13),"-",Fab!G13)</f>
        <v>-</v>
      </c>
      <c r="H70" s="554"/>
      <c r="I70" s="554"/>
      <c r="J70" s="554" t="str">
        <f>Fab!J13</f>
        <v>Wall relevant for TGD L fabric compliance check</v>
      </c>
      <c r="K70" s="554"/>
      <c r="L70" s="554"/>
      <c r="M70" s="554"/>
      <c r="N70" s="554"/>
    </row>
    <row r="71" spans="1:14">
      <c r="A71" s="554" t="s">
        <v>459</v>
      </c>
      <c r="B71" s="554"/>
      <c r="C71" s="554"/>
      <c r="D71" s="586">
        <f>Fab!D14</f>
        <v>0</v>
      </c>
      <c r="E71" s="586">
        <f>Fab!E14</f>
        <v>0</v>
      </c>
      <c r="F71" s="586">
        <f>Fab!F14</f>
        <v>0</v>
      </c>
      <c r="G71" s="554" t="str">
        <f>IF(ISBLANK(Fab!G14),"-",Fab!G14)</f>
        <v>-</v>
      </c>
      <c r="H71" s="554"/>
      <c r="I71" s="554"/>
      <c r="J71" s="554" t="str">
        <f>Fab!J14</f>
        <v>Wall relevant for TGD L fabric compliance check</v>
      </c>
      <c r="K71" s="554"/>
      <c r="L71" s="554"/>
      <c r="M71" s="554"/>
      <c r="N71" s="554"/>
    </row>
    <row r="72" spans="1:14">
      <c r="A72" s="554" t="s">
        <v>460</v>
      </c>
      <c r="B72" s="554"/>
      <c r="C72" s="554"/>
      <c r="D72" s="586">
        <f>Fab!D15</f>
        <v>63</v>
      </c>
      <c r="E72" s="586">
        <f>Fab!E15</f>
        <v>0.11</v>
      </c>
      <c r="F72" s="586">
        <f>Fab!F15</f>
        <v>6.93</v>
      </c>
      <c r="G72" s="554" t="str">
        <f>IF(ISBLANK(Fab!G15),"-",Fab!G15)</f>
        <v>-</v>
      </c>
      <c r="H72" s="554"/>
      <c r="I72" s="554"/>
      <c r="J72" s="554" t="str">
        <f>Fab!J15</f>
        <v>Pitched roof - Insulation at ceiling</v>
      </c>
      <c r="K72" s="554"/>
      <c r="L72" s="554"/>
      <c r="M72" s="554"/>
      <c r="N72" s="554"/>
    </row>
    <row r="73" spans="1:14">
      <c r="A73" s="554" t="s">
        <v>462</v>
      </c>
      <c r="B73" s="554"/>
      <c r="C73" s="554"/>
      <c r="D73" s="586">
        <f>Fab!D16</f>
        <v>0</v>
      </c>
      <c r="E73" s="586">
        <f>Fab!E16</f>
        <v>0</v>
      </c>
      <c r="F73" s="586">
        <f>Fab!F16</f>
        <v>0</v>
      </c>
      <c r="G73" s="554" t="str">
        <f>IF(ISBLANK(Fab!G16),"-",Fab!G16)</f>
        <v>-</v>
      </c>
      <c r="H73" s="554"/>
      <c r="I73" s="554"/>
      <c r="J73" s="554" t="str">
        <f>Fab!J16</f>
        <v>Pitched roof - Insulation at ceiling</v>
      </c>
      <c r="K73" s="554"/>
      <c r="L73" s="554"/>
      <c r="M73" s="554"/>
      <c r="N73" s="554"/>
    </row>
    <row r="74" spans="1:14">
      <c r="A74" s="554" t="s">
        <v>463</v>
      </c>
      <c r="B74" s="554"/>
      <c r="C74" s="554"/>
      <c r="D74" s="586">
        <f>Fab!D17</f>
        <v>0</v>
      </c>
      <c r="E74" s="586">
        <f>Fab!E17</f>
        <v>0</v>
      </c>
      <c r="F74" s="586">
        <f>Fab!F17</f>
        <v>0</v>
      </c>
      <c r="G74" s="554" t="str">
        <f>IF(ISBLANK(Fab!G17),"-",Fab!G17)</f>
        <v>-</v>
      </c>
      <c r="H74" s="554"/>
      <c r="I74" s="554"/>
      <c r="J74" s="554" t="str">
        <f>Fab!J17</f>
        <v>Pitched roof - Insulation at ceiling</v>
      </c>
      <c r="K74" s="554"/>
      <c r="L74" s="554"/>
      <c r="M74" s="554"/>
      <c r="N74" s="554"/>
    </row>
    <row r="75" spans="1:14">
      <c r="A75" s="554" t="s">
        <v>464</v>
      </c>
      <c r="B75" s="554"/>
      <c r="C75" s="554"/>
      <c r="D75" s="586">
        <f>Fab!D18</f>
        <v>0</v>
      </c>
      <c r="E75" s="586">
        <f>Fab!E18</f>
        <v>0</v>
      </c>
      <c r="F75" s="586">
        <f>Fab!F18</f>
        <v>0</v>
      </c>
      <c r="G75" s="554" t="str">
        <f>IF(ISBLANK(Fab!G18),"-",Fab!G18)</f>
        <v>-</v>
      </c>
      <c r="H75" s="554"/>
      <c r="I75" s="554"/>
      <c r="J75" s="554" t="str">
        <f>Fab!J18</f>
        <v>Pitched roof - Insulation at ceiling</v>
      </c>
      <c r="K75" s="554"/>
      <c r="L75" s="554"/>
      <c r="M75" s="554"/>
      <c r="N75" s="554"/>
    </row>
    <row r="76" spans="1:14">
      <c r="A76" s="554" t="s">
        <v>465</v>
      </c>
      <c r="B76" s="554"/>
      <c r="C76" s="554"/>
      <c r="D76" s="586">
        <f>Fab!D19</f>
        <v>0</v>
      </c>
      <c r="E76" s="586">
        <f>Fab!E19</f>
        <v>0</v>
      </c>
      <c r="F76" s="586">
        <f>Fab!F19</f>
        <v>0</v>
      </c>
      <c r="G76" s="554" t="str">
        <f>IF(ISBLANK(Fab!G19),"-",Fab!G19)</f>
        <v>-</v>
      </c>
      <c r="H76" s="554"/>
      <c r="I76" s="554"/>
      <c r="J76" s="554" t="str">
        <f>Fab!J19</f>
        <v>Pitched roof - Insulation at ceiling</v>
      </c>
      <c r="K76" s="554"/>
      <c r="L76" s="554"/>
      <c r="M76" s="554"/>
      <c r="N76" s="554"/>
    </row>
    <row r="77" spans="1:14" ht="15">
      <c r="A77" s="576" t="s">
        <v>1625</v>
      </c>
      <c r="B77" s="554"/>
      <c r="C77" s="554"/>
      <c r="D77" s="559">
        <f>Fab!D20</f>
        <v>243.15</v>
      </c>
      <c r="E77" s="555"/>
      <c r="F77" s="555"/>
      <c r="G77" s="554"/>
      <c r="H77" s="554"/>
      <c r="I77" s="554"/>
      <c r="J77" s="554"/>
      <c r="K77" s="554"/>
      <c r="L77" s="554"/>
      <c r="M77" s="554"/>
      <c r="N77" s="554"/>
    </row>
    <row r="78" spans="1:14" ht="13">
      <c r="A78" s="36" t="s">
        <v>467</v>
      </c>
      <c r="B78" s="554"/>
      <c r="C78" s="554"/>
      <c r="D78" s="554"/>
      <c r="E78" s="555"/>
      <c r="F78" s="568">
        <f>Fab!F21</f>
        <v>55.380285714285705</v>
      </c>
      <c r="G78" s="554"/>
      <c r="H78" s="554"/>
      <c r="I78" s="554"/>
      <c r="J78" s="554"/>
      <c r="K78" s="554"/>
      <c r="L78" s="554"/>
      <c r="M78" s="554"/>
      <c r="N78" s="554"/>
    </row>
    <row r="79" spans="1:14" ht="14.5">
      <c r="A79" s="554" t="s">
        <v>1626</v>
      </c>
      <c r="B79" s="554"/>
      <c r="C79" s="554"/>
      <c r="D79" s="554"/>
      <c r="E79" s="555"/>
      <c r="F79" s="559">
        <f>Fab!G22</f>
        <v>0.05</v>
      </c>
      <c r="G79" s="554"/>
      <c r="H79" s="554"/>
      <c r="I79" s="554"/>
      <c r="J79" s="554"/>
      <c r="K79" s="554"/>
      <c r="L79" s="554"/>
      <c r="M79" s="554"/>
      <c r="N79" s="554"/>
    </row>
    <row r="80" spans="1:14" ht="13">
      <c r="A80" s="576" t="s">
        <v>470</v>
      </c>
      <c r="B80" s="554"/>
      <c r="C80" s="554"/>
      <c r="D80" s="554"/>
      <c r="E80" s="555"/>
      <c r="F80" s="568">
        <f>Fab!F24</f>
        <v>67.537785714285704</v>
      </c>
      <c r="G80" s="554"/>
      <c r="H80" s="554"/>
      <c r="I80" s="554"/>
      <c r="J80" s="554"/>
      <c r="K80" s="554"/>
      <c r="L80" s="554"/>
      <c r="M80" s="554"/>
      <c r="N80" s="554"/>
    </row>
    <row r="81" spans="1:14">
      <c r="A81" s="554"/>
      <c r="B81" s="554"/>
      <c r="C81" s="554"/>
      <c r="D81" s="554"/>
      <c r="E81" s="555"/>
      <c r="F81" s="555"/>
      <c r="G81" s="554"/>
      <c r="H81" s="554"/>
      <c r="I81" s="554"/>
      <c r="J81" s="554"/>
      <c r="K81" s="554"/>
      <c r="L81" s="554"/>
      <c r="M81" s="554"/>
      <c r="N81" s="554"/>
    </row>
    <row r="82" spans="1:14" ht="13">
      <c r="A82" s="576" t="s">
        <v>1627</v>
      </c>
      <c r="B82" s="554"/>
      <c r="C82" s="554"/>
      <c r="D82" s="554"/>
      <c r="E82" s="555"/>
      <c r="F82" s="568">
        <f>hlc</f>
        <v>126.47930714821428</v>
      </c>
      <c r="G82" s="554"/>
      <c r="H82" s="554"/>
      <c r="I82" s="554"/>
      <c r="J82" s="554"/>
      <c r="K82" s="554"/>
      <c r="L82" s="554"/>
      <c r="M82" s="554"/>
      <c r="N82" s="554"/>
    </row>
    <row r="83" spans="1:14" ht="15">
      <c r="A83" s="576" t="s">
        <v>1628</v>
      </c>
      <c r="B83" s="554"/>
      <c r="C83" s="554"/>
      <c r="D83" s="554"/>
      <c r="E83" s="555"/>
      <c r="F83" s="559">
        <f>hlp</f>
        <v>1.0038040249858275</v>
      </c>
      <c r="G83" s="554"/>
      <c r="H83" s="554"/>
      <c r="I83" s="554"/>
      <c r="J83" s="554"/>
      <c r="K83" s="554"/>
      <c r="L83" s="554"/>
      <c r="M83" s="554"/>
      <c r="N83" s="554"/>
    </row>
    <row r="84" spans="1:14">
      <c r="A84" s="554"/>
      <c r="B84" s="554"/>
      <c r="C84" s="554"/>
      <c r="D84" s="554"/>
      <c r="E84" s="555"/>
      <c r="F84" s="555"/>
      <c r="G84" s="554"/>
      <c r="H84" s="554"/>
      <c r="I84" s="554"/>
      <c r="J84" s="554"/>
      <c r="K84" s="554"/>
      <c r="L84" s="554"/>
      <c r="M84" s="554"/>
      <c r="N84" s="554"/>
    </row>
    <row r="85" spans="1:14" ht="13">
      <c r="A85" s="557" t="s">
        <v>516</v>
      </c>
      <c r="B85" s="554"/>
      <c r="C85" s="554"/>
      <c r="D85" s="554"/>
      <c r="E85" s="555"/>
      <c r="F85" s="555"/>
      <c r="G85" s="554"/>
      <c r="H85" s="554"/>
      <c r="I85" s="554"/>
      <c r="J85" s="554"/>
      <c r="K85" s="554"/>
      <c r="L85" s="554"/>
      <c r="M85" s="554"/>
      <c r="N85" s="554"/>
    </row>
    <row r="86" spans="1:14">
      <c r="A86" s="554" t="s">
        <v>574</v>
      </c>
      <c r="B86" s="554"/>
      <c r="C86" s="554"/>
      <c r="D86" s="554"/>
      <c r="E86" s="559" t="str">
        <f>WH!E53</f>
        <v>Yes</v>
      </c>
      <c r="F86" s="555"/>
      <c r="G86" s="554"/>
      <c r="H86" s="554"/>
      <c r="I86" s="554"/>
      <c r="J86" s="554"/>
      <c r="K86" s="554"/>
      <c r="L86" s="554"/>
      <c r="M86" s="554"/>
      <c r="N86" s="554"/>
    </row>
    <row r="87" spans="1:14">
      <c r="A87" s="554" t="s">
        <v>576</v>
      </c>
      <c r="B87" s="554"/>
      <c r="C87" s="554"/>
      <c r="D87" s="554"/>
      <c r="E87" s="568">
        <f>WH!G54</f>
        <v>290.32444503466053</v>
      </c>
      <c r="F87" s="555"/>
      <c r="G87" s="554"/>
      <c r="H87" s="554"/>
      <c r="I87" s="554"/>
      <c r="J87" s="554"/>
      <c r="K87" s="554"/>
      <c r="L87" s="554"/>
      <c r="M87" s="554"/>
      <c r="N87" s="554"/>
    </row>
    <row r="88" spans="1:14">
      <c r="A88" s="554"/>
      <c r="B88" s="554"/>
      <c r="C88" s="554"/>
      <c r="D88" s="554"/>
      <c r="E88" s="555"/>
      <c r="F88" s="555"/>
      <c r="G88" s="554"/>
      <c r="H88" s="554"/>
      <c r="I88" s="554"/>
      <c r="J88" s="554"/>
      <c r="K88" s="554"/>
      <c r="L88" s="554"/>
      <c r="M88" s="554"/>
      <c r="N88" s="554"/>
    </row>
    <row r="89" spans="1:14">
      <c r="A89" s="554" t="s">
        <v>578</v>
      </c>
      <c r="B89" s="554"/>
      <c r="C89" s="554"/>
      <c r="D89" s="554"/>
      <c r="E89" s="559" t="str">
        <f>WH!E56</f>
        <v>Yes</v>
      </c>
      <c r="F89" s="555">
        <f>WH!F56</f>
        <v>1</v>
      </c>
      <c r="G89" s="554"/>
      <c r="H89" s="554"/>
      <c r="I89" s="554"/>
      <c r="J89" s="554"/>
      <c r="K89" s="554"/>
      <c r="L89" s="554"/>
      <c r="M89" s="554"/>
      <c r="N89" s="554"/>
    </row>
    <row r="90" spans="1:14">
      <c r="A90" s="554" t="s">
        <v>318</v>
      </c>
      <c r="B90" s="554" t="str">
        <f>IF(F89=0,"Not applicable",":")</f>
        <v>:</v>
      </c>
      <c r="C90" s="554"/>
      <c r="D90" s="554"/>
      <c r="E90" s="555"/>
      <c r="F90" s="555"/>
      <c r="G90" s="554"/>
      <c r="H90" s="554"/>
      <c r="I90" s="554"/>
      <c r="J90" s="554"/>
      <c r="K90" s="554"/>
      <c r="L90" s="554"/>
      <c r="M90" s="554"/>
      <c r="N90" s="554"/>
    </row>
    <row r="91" spans="1:14">
      <c r="A91" s="554"/>
      <c r="B91" s="556" t="s">
        <v>579</v>
      </c>
      <c r="C91" s="572"/>
      <c r="D91" s="572"/>
      <c r="E91" s="585"/>
      <c r="F91" s="585"/>
      <c r="G91" s="572"/>
      <c r="H91" s="585">
        <f>cylVol</f>
        <v>120</v>
      </c>
      <c r="I91" s="584"/>
      <c r="J91" s="554"/>
      <c r="K91" s="554"/>
      <c r="L91" s="554"/>
      <c r="M91" s="554"/>
      <c r="N91" s="554"/>
    </row>
    <row r="92" spans="1:14">
      <c r="A92" s="554"/>
      <c r="B92" s="569"/>
      <c r="C92" s="554"/>
      <c r="D92" s="554"/>
      <c r="E92" s="554"/>
      <c r="F92" s="554"/>
      <c r="G92" s="554"/>
      <c r="H92" s="555"/>
      <c r="I92" s="582"/>
      <c r="J92" s="554"/>
      <c r="K92" s="554"/>
      <c r="L92" s="554"/>
      <c r="M92" s="554"/>
      <c r="N92" s="554"/>
    </row>
    <row r="93" spans="1:14">
      <c r="A93" s="554"/>
      <c r="B93" s="569" t="s">
        <v>582</v>
      </c>
      <c r="C93" s="554"/>
      <c r="D93" s="554"/>
      <c r="E93" s="554"/>
      <c r="F93" s="554"/>
      <c r="G93" s="554"/>
      <c r="H93" s="555" t="str">
        <f>WH!G60</f>
        <v>No</v>
      </c>
      <c r="I93" s="582">
        <f>WH!H60</f>
        <v>0</v>
      </c>
      <c r="J93" s="554"/>
      <c r="K93" s="554"/>
      <c r="L93" s="554"/>
      <c r="M93" s="554"/>
      <c r="N93" s="554"/>
    </row>
    <row r="94" spans="1:14">
      <c r="A94" s="554"/>
      <c r="B94" s="569" t="s">
        <v>318</v>
      </c>
      <c r="C94" s="554" t="str">
        <f>IF(I93=0,"Not applicable",":")</f>
        <v>Not applicable</v>
      </c>
      <c r="D94" s="554"/>
      <c r="E94" s="554"/>
      <c r="F94" s="554"/>
      <c r="G94" s="554"/>
      <c r="H94" s="555"/>
      <c r="I94" s="582"/>
      <c r="J94" s="554"/>
      <c r="K94" s="554"/>
      <c r="L94" s="554"/>
      <c r="M94" s="554"/>
      <c r="N94" s="554"/>
    </row>
    <row r="95" spans="1:14">
      <c r="A95" s="554"/>
      <c r="B95" s="569"/>
      <c r="C95" s="556" t="s">
        <v>583</v>
      </c>
      <c r="D95" s="572"/>
      <c r="E95" s="572"/>
      <c r="F95" s="572"/>
      <c r="G95" s="572"/>
      <c r="H95" s="584" t="str">
        <f>IF(ISBLANK(WH!H62),"-",WH!H62)</f>
        <v>-</v>
      </c>
      <c r="I95" s="582"/>
      <c r="J95" s="554"/>
      <c r="K95" s="554"/>
      <c r="L95" s="554"/>
      <c r="M95" s="554"/>
      <c r="N95" s="554"/>
    </row>
    <row r="96" spans="1:14">
      <c r="A96" s="554"/>
      <c r="B96" s="569"/>
      <c r="C96" s="578" t="s">
        <v>584</v>
      </c>
      <c r="D96" s="566"/>
      <c r="E96" s="566"/>
      <c r="F96" s="566"/>
      <c r="G96" s="566"/>
      <c r="H96" s="577">
        <f>WH!H63</f>
        <v>1.2</v>
      </c>
      <c r="I96" s="582"/>
      <c r="J96" s="554"/>
      <c r="K96" s="554"/>
      <c r="L96" s="554"/>
      <c r="M96" s="554"/>
      <c r="N96" s="554"/>
    </row>
    <row r="97" spans="1:14">
      <c r="A97" s="554"/>
      <c r="B97" s="569" t="s">
        <v>1618</v>
      </c>
      <c r="C97" s="554" t="str">
        <f>IF(I93,"Not applicable",":")</f>
        <v>:</v>
      </c>
      <c r="D97" s="554"/>
      <c r="E97" s="554"/>
      <c r="F97" s="554"/>
      <c r="G97" s="554"/>
      <c r="H97" s="554"/>
      <c r="I97" s="567"/>
      <c r="J97" s="554"/>
      <c r="K97" s="554"/>
      <c r="L97" s="554"/>
      <c r="M97" s="554"/>
      <c r="N97" s="554"/>
    </row>
    <row r="98" spans="1:14">
      <c r="A98" s="554"/>
      <c r="B98" s="569"/>
      <c r="C98" s="556" t="s">
        <v>587</v>
      </c>
      <c r="D98" s="572"/>
      <c r="E98" s="572"/>
      <c r="F98" s="572"/>
      <c r="G98" s="572"/>
      <c r="H98" s="583" t="str">
        <f>WH!G66</f>
        <v>Factory insulated</v>
      </c>
      <c r="I98" s="567"/>
      <c r="J98" s="554"/>
      <c r="K98" s="554"/>
      <c r="L98" s="554"/>
      <c r="M98" s="554"/>
      <c r="N98" s="554"/>
    </row>
    <row r="99" spans="1:14">
      <c r="A99" s="554"/>
      <c r="B99" s="569"/>
      <c r="C99" s="578" t="s">
        <v>589</v>
      </c>
      <c r="D99" s="566"/>
      <c r="E99" s="566"/>
      <c r="F99" s="566"/>
      <c r="G99" s="581"/>
      <c r="H99" s="577">
        <f>WH!H67</f>
        <v>100</v>
      </c>
      <c r="I99" s="582"/>
      <c r="J99" s="554"/>
      <c r="K99" s="554"/>
      <c r="L99" s="554"/>
      <c r="M99" s="554"/>
      <c r="N99" s="554"/>
    </row>
    <row r="100" spans="1:14">
      <c r="A100" s="554"/>
      <c r="B100" s="569" t="s">
        <v>326</v>
      </c>
      <c r="C100" s="554"/>
      <c r="D100" s="554"/>
      <c r="E100" s="554"/>
      <c r="F100" s="554"/>
      <c r="G100" s="555"/>
      <c r="H100" s="555"/>
      <c r="I100" s="582"/>
      <c r="J100" s="554"/>
      <c r="K100" s="554"/>
      <c r="L100" s="554"/>
      <c r="M100" s="554"/>
      <c r="N100" s="554"/>
    </row>
    <row r="101" spans="1:14">
      <c r="A101" s="554"/>
      <c r="B101" s="569" t="s">
        <v>594</v>
      </c>
      <c r="C101" s="554"/>
      <c r="D101" s="554"/>
      <c r="E101" s="554"/>
      <c r="F101" s="554"/>
      <c r="G101" s="555">
        <f>WH!G73</f>
        <v>0.6</v>
      </c>
      <c r="H101" s="555"/>
      <c r="I101" s="582"/>
      <c r="J101" s="554"/>
      <c r="K101" s="554"/>
      <c r="L101" s="554"/>
      <c r="M101" s="554"/>
      <c r="N101" s="554"/>
    </row>
    <row r="102" spans="1:14">
      <c r="A102" s="554"/>
      <c r="B102" s="578" t="s">
        <v>595</v>
      </c>
      <c r="C102" s="566"/>
      <c r="D102" s="566"/>
      <c r="E102" s="566"/>
      <c r="F102" s="566"/>
      <c r="G102" s="581">
        <f>WH!G74</f>
        <v>0.9</v>
      </c>
      <c r="H102" s="581"/>
      <c r="I102" s="577"/>
      <c r="J102" s="554"/>
      <c r="K102" s="554"/>
      <c r="L102" s="554"/>
      <c r="M102" s="554"/>
      <c r="N102" s="554"/>
    </row>
    <row r="103" spans="1:14">
      <c r="A103" s="554" t="s">
        <v>326</v>
      </c>
      <c r="B103" s="554"/>
      <c r="C103" s="554"/>
      <c r="D103" s="554"/>
      <c r="E103" s="554"/>
      <c r="F103" s="554"/>
      <c r="G103" s="555"/>
      <c r="H103" s="555"/>
      <c r="I103" s="555"/>
      <c r="J103" s="554"/>
      <c r="K103" s="554"/>
      <c r="L103" s="554"/>
      <c r="M103" s="554"/>
      <c r="N103" s="554"/>
    </row>
    <row r="104" spans="1:14">
      <c r="A104" s="554" t="s">
        <v>597</v>
      </c>
      <c r="B104" s="554"/>
      <c r="C104" s="554"/>
      <c r="D104" s="554"/>
      <c r="E104" s="554"/>
      <c r="F104" s="554"/>
      <c r="G104" s="555" t="str">
        <f>WH!F78</f>
        <v>No</v>
      </c>
      <c r="H104" s="555">
        <f>WH!G78</f>
        <v>0</v>
      </c>
      <c r="I104" s="555"/>
      <c r="J104" s="554"/>
      <c r="K104" s="554"/>
      <c r="L104" s="554"/>
      <c r="M104" s="554"/>
      <c r="N104" s="554"/>
    </row>
    <row r="105" spans="1:14">
      <c r="A105" s="554" t="s">
        <v>318</v>
      </c>
      <c r="B105" s="554" t="str">
        <f>IF(H104=0,"Not applicable",":")</f>
        <v>Not applicable</v>
      </c>
      <c r="C105" s="554"/>
      <c r="D105" s="554"/>
      <c r="E105" s="554"/>
      <c r="F105" s="554"/>
      <c r="G105" s="555"/>
      <c r="H105" s="555"/>
      <c r="I105" s="554"/>
      <c r="J105" s="554"/>
      <c r="K105" s="554"/>
      <c r="L105" s="554"/>
      <c r="M105" s="554"/>
      <c r="N105" s="554"/>
    </row>
    <row r="106" spans="1:14" ht="13">
      <c r="A106" s="554"/>
      <c r="B106" s="580" t="s">
        <v>599</v>
      </c>
      <c r="C106" s="572"/>
      <c r="D106" s="572"/>
      <c r="E106" s="572"/>
      <c r="F106" s="572"/>
      <c r="G106" s="579">
        <f>WH!G81</f>
        <v>0</v>
      </c>
      <c r="H106" s="555"/>
      <c r="I106" s="555" t="s">
        <v>625</v>
      </c>
      <c r="J106" s="554"/>
      <c r="K106" s="574">
        <f>WH!C105</f>
        <v>0</v>
      </c>
      <c r="L106" s="554"/>
      <c r="M106" s="554"/>
      <c r="N106" s="554"/>
    </row>
    <row r="107" spans="1:14">
      <c r="A107" s="554"/>
      <c r="B107" s="578" t="s">
        <v>601</v>
      </c>
      <c r="C107" s="566"/>
      <c r="D107" s="566"/>
      <c r="E107" s="566"/>
      <c r="F107" s="566"/>
      <c r="G107" s="577" t="str">
        <f>WH!F83</f>
        <v>No</v>
      </c>
      <c r="H107" s="555"/>
      <c r="I107" s="555"/>
      <c r="J107" s="554"/>
      <c r="K107" s="554"/>
      <c r="L107" s="554"/>
      <c r="M107" s="554"/>
      <c r="N107" s="554"/>
    </row>
    <row r="108" spans="1:14">
      <c r="A108" s="554" t="s">
        <v>326</v>
      </c>
      <c r="B108" s="554"/>
      <c r="C108" s="554"/>
      <c r="D108" s="554"/>
      <c r="E108" s="554"/>
      <c r="F108" s="554"/>
      <c r="G108" s="555"/>
      <c r="H108" s="555"/>
      <c r="I108" s="555"/>
      <c r="J108" s="554"/>
      <c r="K108" s="554"/>
      <c r="L108" s="554"/>
      <c r="M108" s="554"/>
      <c r="N108" s="554"/>
    </row>
    <row r="109" spans="1:14">
      <c r="A109" s="554" t="s">
        <v>604</v>
      </c>
      <c r="B109" s="554"/>
      <c r="C109" s="554"/>
      <c r="D109" s="554"/>
      <c r="E109" s="554"/>
      <c r="F109" s="554"/>
      <c r="G109" s="555"/>
      <c r="H109" s="555"/>
      <c r="I109" s="555">
        <f>WH!G88</f>
        <v>360</v>
      </c>
      <c r="J109" s="554"/>
      <c r="K109" s="554"/>
      <c r="L109" s="554"/>
      <c r="M109" s="554"/>
      <c r="N109" s="554"/>
    </row>
    <row r="110" spans="1:14">
      <c r="A110" s="554" t="s">
        <v>606</v>
      </c>
      <c r="B110" s="554"/>
      <c r="C110" s="554"/>
      <c r="D110" s="554"/>
      <c r="E110" s="554"/>
      <c r="F110" s="554"/>
      <c r="G110" s="554"/>
      <c r="H110" s="554"/>
      <c r="I110" s="555">
        <f>WH!I91</f>
        <v>0</v>
      </c>
      <c r="J110" s="554"/>
      <c r="K110" s="554"/>
      <c r="L110" s="554"/>
      <c r="M110" s="554"/>
      <c r="N110" s="554"/>
    </row>
    <row r="111" spans="1:14">
      <c r="A111" s="554" t="s">
        <v>608</v>
      </c>
      <c r="B111" s="554"/>
      <c r="C111" s="554"/>
      <c r="D111" s="554"/>
      <c r="E111" s="554"/>
      <c r="F111" s="554"/>
      <c r="G111" s="554"/>
      <c r="H111" s="554"/>
      <c r="I111" s="555">
        <f>WH!I92</f>
        <v>0</v>
      </c>
      <c r="J111" s="554"/>
      <c r="K111" s="554"/>
      <c r="L111" s="554"/>
      <c r="M111" s="554"/>
      <c r="N111" s="554"/>
    </row>
    <row r="112" spans="1:14">
      <c r="A112" s="554" t="s">
        <v>1629</v>
      </c>
      <c r="B112" s="554"/>
      <c r="C112" s="554"/>
      <c r="D112" s="554"/>
      <c r="E112" s="554"/>
      <c r="F112" s="554"/>
      <c r="G112" s="554"/>
      <c r="H112" s="554"/>
      <c r="I112" s="555" t="str">
        <f>WH!H94</f>
        <v>No</v>
      </c>
      <c r="J112" s="554"/>
      <c r="K112" s="554"/>
      <c r="L112" s="554"/>
      <c r="M112" s="554"/>
      <c r="N112" s="554"/>
    </row>
    <row r="113" spans="1:14" ht="13">
      <c r="A113" s="576" t="s">
        <v>617</v>
      </c>
      <c r="B113" s="554"/>
      <c r="C113" s="554"/>
      <c r="D113" s="554"/>
      <c r="E113" s="554"/>
      <c r="F113" s="554"/>
      <c r="G113" s="568">
        <f>WhReqt</f>
        <v>2488.6104499012713</v>
      </c>
      <c r="H113" s="554"/>
      <c r="I113" s="554"/>
      <c r="J113" s="554"/>
      <c r="K113" s="554"/>
      <c r="L113" s="554"/>
      <c r="M113" s="554"/>
      <c r="N113" s="554"/>
    </row>
    <row r="114" spans="1:14" ht="13">
      <c r="A114" s="576" t="s">
        <v>618</v>
      </c>
      <c r="B114" s="554"/>
      <c r="C114" s="554"/>
      <c r="D114" s="554"/>
      <c r="E114" s="554"/>
      <c r="F114" s="554"/>
      <c r="G114" s="568">
        <f>WhReqtSup</f>
        <v>0</v>
      </c>
      <c r="H114" s="554"/>
      <c r="I114" s="554"/>
      <c r="J114" s="554"/>
      <c r="K114" s="554"/>
      <c r="L114" s="554"/>
      <c r="M114" s="554"/>
      <c r="N114" s="554"/>
    </row>
    <row r="115" spans="1:14" ht="13">
      <c r="A115" s="576" t="s">
        <v>1630</v>
      </c>
      <c r="B115" s="554"/>
      <c r="C115" s="554"/>
      <c r="D115" s="554"/>
      <c r="E115" s="554"/>
      <c r="F115" s="554"/>
      <c r="G115" s="568">
        <f>WhGains</f>
        <v>123.97760725604934</v>
      </c>
      <c r="H115" s="554"/>
      <c r="I115" s="554"/>
      <c r="J115" s="554"/>
      <c r="K115" s="554"/>
      <c r="L115" s="554"/>
      <c r="M115" s="554"/>
      <c r="N115" s="554"/>
    </row>
    <row r="116" spans="1:14">
      <c r="A116" s="554" t="s">
        <v>610</v>
      </c>
      <c r="B116" s="554"/>
      <c r="C116" s="554"/>
      <c r="D116" s="554"/>
      <c r="E116" s="554"/>
      <c r="F116" s="554"/>
      <c r="G116" s="574" t="str">
        <f>WH!H93</f>
        <v>Yes</v>
      </c>
      <c r="H116" s="554"/>
      <c r="I116" s="554"/>
      <c r="J116" s="554"/>
      <c r="K116" s="554"/>
      <c r="L116" s="554"/>
      <c r="M116" s="554"/>
      <c r="N116" s="554"/>
    </row>
    <row r="117" spans="1:14" ht="13">
      <c r="A117" s="557" t="s">
        <v>655</v>
      </c>
      <c r="B117" s="554"/>
      <c r="C117" s="554"/>
      <c r="D117" s="554"/>
      <c r="E117" s="554"/>
      <c r="F117" s="554"/>
      <c r="G117" s="554"/>
      <c r="H117" s="554"/>
      <c r="I117" s="554"/>
      <c r="J117" s="554"/>
      <c r="K117" s="554"/>
      <c r="L117" s="554"/>
      <c r="M117" s="554"/>
      <c r="N117" s="554"/>
    </row>
    <row r="118" spans="1:14">
      <c r="A118" s="554" t="s">
        <v>206</v>
      </c>
      <c r="B118" s="554"/>
      <c r="C118" s="554"/>
      <c r="D118" s="554"/>
      <c r="E118" s="554"/>
      <c r="F118" s="554"/>
      <c r="G118" s="555" t="s">
        <v>206</v>
      </c>
      <c r="H118" s="554"/>
      <c r="I118" s="554"/>
      <c r="J118" s="554"/>
      <c r="K118" s="554"/>
      <c r="L118" s="554"/>
      <c r="M118" s="554"/>
      <c r="N118" s="554"/>
    </row>
    <row r="119" spans="1:14" ht="13">
      <c r="A119" s="576" t="s">
        <v>696</v>
      </c>
      <c r="B119" s="554"/>
      <c r="C119" s="554"/>
      <c r="D119" s="554"/>
      <c r="E119" s="554"/>
      <c r="F119" s="554"/>
      <c r="G119" s="568">
        <f>Light!G56</f>
        <v>246.51445106940128</v>
      </c>
      <c r="H119" s="554"/>
      <c r="I119" s="554"/>
      <c r="J119" s="554"/>
      <c r="K119" s="554"/>
      <c r="L119" s="554"/>
      <c r="M119" s="554"/>
      <c r="N119" s="554"/>
    </row>
    <row r="120" spans="1:14">
      <c r="A120" s="554"/>
      <c r="B120" s="554"/>
      <c r="C120" s="554"/>
      <c r="D120" s="554"/>
      <c r="E120" s="554"/>
      <c r="F120" s="554"/>
      <c r="G120" s="555"/>
      <c r="H120" s="554"/>
      <c r="I120" s="554"/>
      <c r="J120" s="554"/>
      <c r="K120" s="554"/>
      <c r="L120" s="554"/>
      <c r="M120" s="554"/>
      <c r="N120" s="554"/>
    </row>
    <row r="121" spans="1:14" ht="13">
      <c r="A121" s="557" t="s">
        <v>1631</v>
      </c>
      <c r="B121" s="554"/>
      <c r="C121" s="554"/>
      <c r="D121" s="554"/>
      <c r="E121" s="554"/>
      <c r="F121" s="554"/>
      <c r="G121" s="555"/>
      <c r="H121" s="554"/>
      <c r="I121" s="554"/>
      <c r="J121" s="554"/>
      <c r="K121" s="554"/>
      <c r="L121" s="554"/>
      <c r="M121" s="554"/>
      <c r="N121" s="554"/>
    </row>
    <row r="122" spans="1:14" ht="13">
      <c r="A122" s="576" t="s">
        <v>708</v>
      </c>
      <c r="B122" s="554"/>
      <c r="C122" s="554"/>
      <c r="D122" s="554"/>
      <c r="E122" s="554"/>
      <c r="F122" s="554"/>
      <c r="G122" s="568">
        <f>Light!E70</f>
        <v>503.54221759880693</v>
      </c>
      <c r="H122" s="554"/>
      <c r="I122" s="554"/>
      <c r="J122" s="554"/>
      <c r="K122" s="554"/>
      <c r="L122" s="554"/>
      <c r="M122" s="554"/>
      <c r="N122" s="554"/>
    </row>
    <row r="123" spans="1:14">
      <c r="A123" s="554"/>
      <c r="B123" s="554"/>
      <c r="C123" s="554"/>
      <c r="D123" s="554"/>
      <c r="E123" s="554"/>
      <c r="F123" s="554"/>
      <c r="G123" s="555"/>
      <c r="H123" s="554"/>
      <c r="I123" s="554"/>
      <c r="J123" s="554"/>
      <c r="K123" s="554"/>
      <c r="L123" s="554"/>
      <c r="M123" s="554"/>
      <c r="N123" s="554"/>
    </row>
    <row r="124" spans="1:14" ht="13">
      <c r="A124" s="557" t="s">
        <v>749</v>
      </c>
      <c r="B124" s="554"/>
      <c r="C124" s="554"/>
      <c r="D124" s="554"/>
      <c r="E124" s="554"/>
      <c r="F124" s="554"/>
      <c r="G124" s="555"/>
      <c r="H124" s="554"/>
      <c r="I124" s="554"/>
      <c r="J124" s="554"/>
      <c r="K124" s="554"/>
      <c r="L124" s="554"/>
      <c r="M124" s="554"/>
      <c r="N124" s="554"/>
    </row>
    <row r="125" spans="1:14" ht="13">
      <c r="A125" s="1" t="s">
        <v>716</v>
      </c>
      <c r="B125" s="554"/>
      <c r="C125" s="554"/>
      <c r="D125" s="554"/>
      <c r="E125" s="559">
        <f>HtUse!G5</f>
        <v>0.25</v>
      </c>
      <c r="F125" s="554"/>
      <c r="G125" s="555"/>
      <c r="H125" s="554"/>
      <c r="I125" s="554"/>
      <c r="J125" s="554"/>
      <c r="K125" s="554"/>
      <c r="L125" s="554"/>
      <c r="M125" s="554"/>
      <c r="N125" s="554"/>
    </row>
    <row r="126" spans="1:14">
      <c r="A126" s="154" t="s">
        <v>719</v>
      </c>
      <c r="B126" s="554"/>
      <c r="C126" s="554"/>
      <c r="D126" s="554"/>
      <c r="E126" s="554" t="str">
        <f>HtUse!E9</f>
        <v>Medium</v>
      </c>
      <c r="F126" s="554"/>
      <c r="G126" s="555"/>
      <c r="H126" s="554"/>
      <c r="I126" s="554"/>
      <c r="J126" s="554"/>
      <c r="K126" s="554"/>
      <c r="L126" s="554"/>
      <c r="M126" s="554"/>
      <c r="N126" s="554"/>
    </row>
    <row r="127" spans="1:14" ht="13">
      <c r="A127" s="36" t="s">
        <v>759</v>
      </c>
      <c r="B127" s="554"/>
      <c r="C127" s="554"/>
      <c r="D127" s="554"/>
      <c r="E127" s="568">
        <f>HeatUse</f>
        <v>2872.5876658783163</v>
      </c>
      <c r="F127" s="554"/>
      <c r="G127" s="555"/>
      <c r="H127" s="554"/>
      <c r="I127" s="554"/>
      <c r="J127" s="554"/>
      <c r="K127" s="554"/>
      <c r="L127" s="554"/>
      <c r="M127" s="554"/>
      <c r="N127" s="554"/>
    </row>
    <row r="128" spans="1:14">
      <c r="A128" s="554"/>
      <c r="B128" s="554"/>
      <c r="C128" s="554"/>
      <c r="D128" s="554"/>
      <c r="E128" s="554"/>
      <c r="F128" s="554"/>
      <c r="G128" s="555"/>
      <c r="H128" s="554"/>
      <c r="I128" s="554"/>
      <c r="J128" s="554"/>
      <c r="K128" s="554"/>
      <c r="L128" s="554"/>
      <c r="M128" s="554"/>
      <c r="N128" s="554"/>
    </row>
    <row r="129" spans="1:14" ht="13">
      <c r="A129" s="557" t="s">
        <v>1007</v>
      </c>
      <c r="B129" s="554"/>
      <c r="C129" s="554"/>
      <c r="D129" s="554"/>
      <c r="E129" s="554"/>
      <c r="F129" s="554"/>
      <c r="G129" s="555"/>
      <c r="H129" s="554"/>
      <c r="I129" s="554"/>
      <c r="J129" s="554"/>
      <c r="K129" s="554"/>
      <c r="L129" s="554"/>
      <c r="M129" s="554"/>
      <c r="N129" s="554"/>
    </row>
    <row r="130" spans="1:14" ht="13">
      <c r="A130" s="560" t="s">
        <v>782</v>
      </c>
      <c r="B130" s="554"/>
      <c r="C130" s="554"/>
      <c r="D130" s="554"/>
      <c r="E130" s="554"/>
      <c r="F130" s="554"/>
      <c r="G130" s="555"/>
      <c r="H130" s="554"/>
      <c r="I130" s="554"/>
      <c r="J130" s="554"/>
      <c r="K130" s="554"/>
      <c r="L130" s="554"/>
      <c r="M130" s="554"/>
      <c r="N130" s="554"/>
    </row>
    <row r="131" spans="1:14">
      <c r="A131" s="554" t="s">
        <v>783</v>
      </c>
      <c r="B131" s="554"/>
      <c r="C131" s="554"/>
      <c r="D131" s="554"/>
      <c r="E131" s="554"/>
      <c r="F131" s="554"/>
      <c r="G131" s="555">
        <f>SH!H4</f>
        <v>0</v>
      </c>
      <c r="H131" s="554"/>
      <c r="I131" s="554"/>
      <c r="J131" s="554"/>
      <c r="K131" s="554"/>
      <c r="L131" s="554"/>
      <c r="M131" s="554"/>
      <c r="N131" s="554"/>
    </row>
    <row r="132" spans="1:14">
      <c r="A132" s="554" t="s">
        <v>785</v>
      </c>
      <c r="B132" s="554"/>
      <c r="C132" s="554"/>
      <c r="D132" s="554"/>
      <c r="E132" s="554"/>
      <c r="F132" s="554"/>
      <c r="G132" s="555">
        <f>ctrlCat</f>
        <v>3</v>
      </c>
      <c r="H132" s="554"/>
      <c r="I132" s="554"/>
      <c r="J132" s="554"/>
      <c r="K132" s="554"/>
      <c r="L132" s="554"/>
      <c r="M132" s="554"/>
      <c r="N132" s="554"/>
    </row>
    <row r="133" spans="1:14">
      <c r="A133" s="554" t="s">
        <v>789</v>
      </c>
      <c r="B133" s="554"/>
      <c r="C133" s="554"/>
      <c r="D133" s="554"/>
      <c r="E133" s="554"/>
      <c r="F133" s="554"/>
      <c r="G133" s="555">
        <f>respons</f>
        <v>1</v>
      </c>
      <c r="H133" s="554"/>
      <c r="I133" s="554"/>
      <c r="J133" s="554"/>
      <c r="K133" s="554"/>
      <c r="L133" s="554"/>
      <c r="M133" s="554"/>
      <c r="N133" s="554"/>
    </row>
    <row r="134" spans="1:14" ht="13">
      <c r="A134" s="560" t="s">
        <v>796</v>
      </c>
      <c r="B134" s="554"/>
      <c r="C134" s="554"/>
      <c r="D134" s="554"/>
      <c r="E134" s="554"/>
      <c r="F134" s="554"/>
      <c r="G134" s="554"/>
      <c r="H134" s="554" t="s">
        <v>798</v>
      </c>
      <c r="I134" s="554" t="s">
        <v>799</v>
      </c>
      <c r="J134" s="554"/>
      <c r="K134" s="554" t="s">
        <v>801</v>
      </c>
      <c r="L134" s="554"/>
      <c r="M134" s="554"/>
      <c r="N134" s="554"/>
    </row>
    <row r="135" spans="1:14">
      <c r="A135" s="554"/>
      <c r="B135" s="554"/>
      <c r="C135" s="554"/>
      <c r="D135" s="554"/>
      <c r="E135" s="554"/>
      <c r="F135" s="554"/>
      <c r="G135" s="554"/>
      <c r="H135" s="554" t="s">
        <v>804</v>
      </c>
      <c r="I135" s="554" t="s">
        <v>1632</v>
      </c>
      <c r="J135" s="554"/>
      <c r="K135" s="554" t="s">
        <v>807</v>
      </c>
      <c r="L135" s="554"/>
      <c r="M135" s="554"/>
      <c r="N135" s="554"/>
    </row>
    <row r="136" spans="1:14">
      <c r="A136" s="554"/>
      <c r="B136" s="554"/>
      <c r="C136" s="554"/>
      <c r="D136" s="554"/>
      <c r="E136" s="554"/>
      <c r="F136" s="554"/>
      <c r="G136" s="554"/>
      <c r="H136" s="554" t="s">
        <v>809</v>
      </c>
      <c r="I136" s="554" t="s">
        <v>1633</v>
      </c>
      <c r="J136" s="554"/>
      <c r="K136" s="554" t="s">
        <v>812</v>
      </c>
      <c r="L136" s="554"/>
      <c r="M136" s="554"/>
      <c r="N136" s="554"/>
    </row>
    <row r="137" spans="1:14">
      <c r="A137" s="554" t="s">
        <v>813</v>
      </c>
      <c r="B137" s="554"/>
      <c r="C137" s="554"/>
      <c r="D137" s="554"/>
      <c r="E137" s="554"/>
      <c r="F137" s="554"/>
      <c r="G137" s="555"/>
      <c r="H137" s="568">
        <f>SH!H21</f>
        <v>1</v>
      </c>
      <c r="I137" s="555"/>
      <c r="J137" s="568" t="str">
        <f>SH!I21</f>
        <v>Yes</v>
      </c>
      <c r="K137" s="555"/>
      <c r="L137" s="554"/>
      <c r="M137" s="554"/>
      <c r="N137" s="554"/>
    </row>
    <row r="138" spans="1:14">
      <c r="A138" s="554" t="s">
        <v>814</v>
      </c>
      <c r="B138" s="554"/>
      <c r="C138" s="554"/>
      <c r="D138" s="554"/>
      <c r="E138" s="554"/>
      <c r="F138" s="554"/>
      <c r="G138" s="555"/>
      <c r="H138" s="568">
        <f>SH!H22</f>
        <v>0</v>
      </c>
      <c r="I138" s="555"/>
      <c r="J138" s="568" t="str">
        <f>SH!I22</f>
        <v>-</v>
      </c>
      <c r="K138" s="568" t="str">
        <f>SH!L22</f>
        <v>-</v>
      </c>
      <c r="L138" s="554"/>
      <c r="M138" s="554"/>
      <c r="N138" s="554"/>
    </row>
    <row r="139" spans="1:14">
      <c r="A139" s="554" t="s">
        <v>815</v>
      </c>
      <c r="B139" s="554"/>
      <c r="C139" s="554"/>
      <c r="D139" s="554"/>
      <c r="E139" s="554"/>
      <c r="F139" s="554"/>
      <c r="G139" s="555"/>
      <c r="H139" s="568">
        <f>SH!H23</f>
        <v>1</v>
      </c>
      <c r="I139" s="555"/>
      <c r="J139" s="555"/>
      <c r="K139" s="555"/>
      <c r="L139" s="554"/>
      <c r="M139" s="554"/>
      <c r="N139" s="554"/>
    </row>
    <row r="140" spans="1:14">
      <c r="A140" s="554" t="s">
        <v>1634</v>
      </c>
      <c r="B140" s="554"/>
      <c r="C140" s="554"/>
      <c r="D140" s="554"/>
      <c r="E140" s="554"/>
      <c r="F140" s="554"/>
      <c r="G140" s="568" t="str">
        <f>SH!G24</f>
        <v>No</v>
      </c>
      <c r="H140" s="555"/>
      <c r="I140" s="555"/>
      <c r="J140" s="555"/>
      <c r="K140" s="555"/>
      <c r="L140" s="554"/>
      <c r="M140" s="554"/>
      <c r="N140" s="554"/>
    </row>
    <row r="141" spans="1:14" ht="13">
      <c r="A141" s="560" t="s">
        <v>821</v>
      </c>
      <c r="B141" s="554"/>
      <c r="C141" s="554"/>
      <c r="D141" s="554"/>
      <c r="E141" s="554"/>
      <c r="F141" s="554"/>
      <c r="G141" s="554"/>
      <c r="H141" s="554"/>
      <c r="I141" s="554"/>
      <c r="J141" s="554"/>
      <c r="K141" s="554"/>
      <c r="L141" s="554"/>
      <c r="M141" s="554"/>
      <c r="N141" s="554"/>
    </row>
    <row r="142" spans="1:14">
      <c r="A142" s="554" t="s">
        <v>1635</v>
      </c>
      <c r="B142" s="554"/>
      <c r="C142" s="554"/>
      <c r="D142" s="554"/>
      <c r="E142" s="554"/>
      <c r="F142" s="554"/>
      <c r="G142" s="554"/>
      <c r="H142" s="554"/>
      <c r="I142" s="555"/>
      <c r="J142" s="568" t="str">
        <f>SH!J33</f>
        <v>-</v>
      </c>
      <c r="K142" s="568">
        <f>SH!K33</f>
        <v>0</v>
      </c>
      <c r="L142" s="554"/>
      <c r="M142" s="554"/>
      <c r="N142" s="554"/>
    </row>
    <row r="143" spans="1:14" ht="14.5">
      <c r="A143" s="554"/>
      <c r="B143" s="554" t="s">
        <v>1636</v>
      </c>
      <c r="C143" s="554"/>
      <c r="D143" s="554"/>
      <c r="E143" s="554"/>
      <c r="F143" s="554"/>
      <c r="G143" s="554"/>
      <c r="H143" s="554"/>
      <c r="I143" s="555"/>
      <c r="J143" s="555">
        <f>SH!K34</f>
        <v>0</v>
      </c>
      <c r="K143" s="555"/>
      <c r="L143" s="554"/>
      <c r="M143" s="554"/>
      <c r="N143" s="554"/>
    </row>
    <row r="144" spans="1:14">
      <c r="A144" s="554" t="s">
        <v>1637</v>
      </c>
      <c r="B144" s="554"/>
      <c r="C144" s="554"/>
      <c r="D144" s="554"/>
      <c r="E144" s="554" t="str">
        <f>SH!E39</f>
        <v>Individual system</v>
      </c>
      <c r="F144" s="554"/>
      <c r="G144" s="554"/>
      <c r="H144" s="554"/>
      <c r="I144" s="555">
        <f>SH!I39</f>
        <v>1</v>
      </c>
      <c r="J144" s="555"/>
      <c r="K144" s="555"/>
      <c r="L144" s="554"/>
      <c r="M144" s="554"/>
      <c r="N144" s="554"/>
    </row>
    <row r="145" spans="1:14">
      <c r="A145" s="554"/>
      <c r="B145" s="554"/>
      <c r="C145" s="554"/>
      <c r="D145" s="554"/>
      <c r="E145" s="554"/>
      <c r="F145" s="554"/>
      <c r="G145" s="554"/>
      <c r="H145" s="554"/>
      <c r="I145" s="554"/>
      <c r="J145" s="554"/>
      <c r="K145" s="554"/>
      <c r="L145" s="554"/>
      <c r="M145" s="554"/>
      <c r="N145" s="554"/>
    </row>
    <row r="146" spans="1:14" ht="13">
      <c r="A146" s="557" t="s">
        <v>877</v>
      </c>
      <c r="B146" s="554"/>
      <c r="C146" s="554"/>
      <c r="D146" s="554"/>
      <c r="E146" s="554"/>
      <c r="F146" s="554"/>
      <c r="G146" s="554" t="str">
        <f>IF(I144&lt;&gt;1,"Not applicable",":")</f>
        <v>:</v>
      </c>
      <c r="H146" s="554"/>
      <c r="I146" s="554"/>
      <c r="J146" s="554"/>
      <c r="K146" s="554"/>
      <c r="L146" s="554"/>
      <c r="M146" s="554"/>
      <c r="N146" s="554"/>
    </row>
    <row r="147" spans="1:14" ht="13">
      <c r="A147" s="573" t="s">
        <v>879</v>
      </c>
      <c r="B147" s="572"/>
      <c r="C147" s="572"/>
      <c r="D147" s="572"/>
      <c r="E147" s="572"/>
      <c r="F147" s="572"/>
      <c r="G147" s="572"/>
      <c r="H147" s="572"/>
      <c r="I147" s="572"/>
      <c r="J147" s="572"/>
      <c r="K147" s="572"/>
      <c r="L147" s="572"/>
      <c r="M147" s="571"/>
      <c r="N147" s="554"/>
    </row>
    <row r="148" spans="1:14">
      <c r="A148" s="569" t="s">
        <v>1638</v>
      </c>
      <c r="B148" s="554"/>
      <c r="C148" s="554"/>
      <c r="D148" s="554"/>
      <c r="E148" s="554"/>
      <c r="F148" s="554"/>
      <c r="G148" s="554"/>
      <c r="H148" s="554"/>
      <c r="I148" s="554"/>
      <c r="J148" s="586">
        <f>'ER1'!J7</f>
        <v>91.3</v>
      </c>
      <c r="K148" s="554"/>
      <c r="L148" s="554"/>
      <c r="M148" s="567"/>
      <c r="N148" s="554"/>
    </row>
    <row r="149" spans="1:14">
      <c r="A149" s="569" t="s">
        <v>892</v>
      </c>
      <c r="B149" s="554"/>
      <c r="C149" s="554"/>
      <c r="D149" s="554"/>
      <c r="E149" s="554"/>
      <c r="F149" s="554"/>
      <c r="G149" s="554"/>
      <c r="H149" s="554"/>
      <c r="I149" s="554"/>
      <c r="J149" s="555">
        <f>'ER1'!J8</f>
        <v>0</v>
      </c>
      <c r="K149" s="554"/>
      <c r="L149" s="554"/>
      <c r="M149" s="567"/>
      <c r="N149" s="554"/>
    </row>
    <row r="150" spans="1:14">
      <c r="A150" s="569" t="s">
        <v>1639</v>
      </c>
      <c r="B150" s="554"/>
      <c r="C150" s="554"/>
      <c r="D150" s="554"/>
      <c r="E150" s="554"/>
      <c r="F150" s="554"/>
      <c r="G150" s="554"/>
      <c r="H150" s="554"/>
      <c r="I150" s="554"/>
      <c r="J150" s="555">
        <f>'ER1'!J9</f>
        <v>0</v>
      </c>
      <c r="K150" s="554"/>
      <c r="L150" s="554"/>
      <c r="M150" s="567"/>
      <c r="N150" s="554"/>
    </row>
    <row r="151" spans="1:14" ht="13">
      <c r="A151" s="570" t="s">
        <v>516</v>
      </c>
      <c r="B151" s="554"/>
      <c r="C151" s="554"/>
      <c r="D151" s="554"/>
      <c r="E151" s="554"/>
      <c r="F151" s="554"/>
      <c r="G151" s="554"/>
      <c r="H151" s="554"/>
      <c r="I151" s="554"/>
      <c r="J151" s="555"/>
      <c r="K151" s="554"/>
      <c r="L151" s="554"/>
      <c r="M151" s="567"/>
      <c r="N151" s="554"/>
    </row>
    <row r="152" spans="1:14">
      <c r="A152" s="569" t="s">
        <v>897</v>
      </c>
      <c r="B152" s="554"/>
      <c r="C152" s="554"/>
      <c r="D152" s="554"/>
      <c r="E152" s="554"/>
      <c r="F152" s="554"/>
      <c r="G152" s="554"/>
      <c r="H152" s="554"/>
      <c r="I152" s="554"/>
      <c r="J152" s="555">
        <f>'ER1'!J16</f>
        <v>91.3</v>
      </c>
      <c r="K152" s="554"/>
      <c r="L152" s="554"/>
      <c r="M152" s="567"/>
      <c r="N152" s="554"/>
    </row>
    <row r="153" spans="1:14" ht="13">
      <c r="A153" s="570" t="s">
        <v>28</v>
      </c>
      <c r="B153" s="554"/>
      <c r="C153" s="554"/>
      <c r="D153" s="554"/>
      <c r="E153" s="554"/>
      <c r="F153" s="554"/>
      <c r="G153" s="554"/>
      <c r="H153" s="554"/>
      <c r="I153" s="554"/>
      <c r="J153" s="555"/>
      <c r="K153" s="554"/>
      <c r="L153" s="554"/>
      <c r="M153" s="567"/>
      <c r="N153" s="554"/>
    </row>
    <row r="154" spans="1:14">
      <c r="A154" s="569" t="s">
        <v>1640</v>
      </c>
      <c r="B154" s="554"/>
      <c r="C154" s="554"/>
      <c r="D154" s="554"/>
      <c r="E154" s="554"/>
      <c r="F154" s="554"/>
      <c r="G154" s="554"/>
      <c r="H154" s="554"/>
      <c r="I154" s="554"/>
      <c r="J154" s="555" t="str">
        <f>IF(Cooling!H3="Yes",Cooling!H6,"-")</f>
        <v>-</v>
      </c>
      <c r="K154" s="554"/>
      <c r="L154" s="554"/>
      <c r="M154" s="567"/>
      <c r="N154" s="554"/>
    </row>
    <row r="155" spans="1:14" ht="13">
      <c r="A155" s="570" t="s">
        <v>911</v>
      </c>
      <c r="B155" s="554"/>
      <c r="C155" s="554"/>
      <c r="D155" s="554" t="s">
        <v>187</v>
      </c>
      <c r="E155" s="554"/>
      <c r="F155" s="554"/>
      <c r="G155" s="554"/>
      <c r="H155" s="554"/>
      <c r="I155" s="554"/>
      <c r="J155" s="555"/>
      <c r="K155" s="554"/>
      <c r="L155" s="554"/>
      <c r="M155" s="567"/>
      <c r="N155" s="554"/>
    </row>
    <row r="156" spans="1:14">
      <c r="A156" s="569" t="s">
        <v>917</v>
      </c>
      <c r="B156" s="554"/>
      <c r="C156" s="554"/>
      <c r="D156" s="554" t="str">
        <f>'ER1'!D32</f>
        <v>mains gas</v>
      </c>
      <c r="E156" s="554"/>
      <c r="F156" s="554"/>
      <c r="G156" s="554"/>
      <c r="H156" s="559"/>
      <c r="I156" s="558"/>
      <c r="J156" s="559"/>
      <c r="K156" s="568"/>
      <c r="L156" s="554"/>
      <c r="M156" s="567"/>
      <c r="N156" s="554"/>
    </row>
    <row r="157" spans="1:14">
      <c r="A157" s="569" t="s">
        <v>919</v>
      </c>
      <c r="B157" s="554"/>
      <c r="C157" s="554"/>
      <c r="D157" s="554" t="str">
        <f>'ER1'!D33</f>
        <v>-</v>
      </c>
      <c r="E157" s="554"/>
      <c r="F157" s="554"/>
      <c r="G157" s="554"/>
      <c r="H157" s="559"/>
      <c r="I157" s="558"/>
      <c r="J157" s="559"/>
      <c r="K157" s="568"/>
      <c r="L157" s="554"/>
      <c r="M157" s="567"/>
      <c r="N157" s="554"/>
    </row>
    <row r="158" spans="1:14">
      <c r="A158" s="569" t="s">
        <v>920</v>
      </c>
      <c r="B158" s="554"/>
      <c r="C158" s="554"/>
      <c r="D158" s="554" t="str">
        <f>'ER1'!D34</f>
        <v>mains gas</v>
      </c>
      <c r="E158" s="554"/>
      <c r="F158" s="554"/>
      <c r="G158" s="554"/>
      <c r="H158" s="559"/>
      <c r="I158" s="558"/>
      <c r="J158" s="559"/>
      <c r="K158" s="568"/>
      <c r="L158" s="554"/>
      <c r="M158" s="567"/>
      <c r="N158" s="554"/>
    </row>
    <row r="159" spans="1:14">
      <c r="A159" s="569" t="s">
        <v>921</v>
      </c>
      <c r="B159" s="554"/>
      <c r="C159" s="554"/>
      <c r="D159" s="554" t="str">
        <f>'ER1'!D35</f>
        <v>-</v>
      </c>
      <c r="E159" s="554"/>
      <c r="F159" s="554"/>
      <c r="G159" s="554"/>
      <c r="H159" s="559"/>
      <c r="I159" s="558"/>
      <c r="J159" s="559"/>
      <c r="K159" s="554"/>
      <c r="L159" s="554"/>
      <c r="M159" s="567"/>
      <c r="N159" s="554"/>
    </row>
    <row r="160" spans="1:14">
      <c r="A160" s="569" t="s">
        <v>951</v>
      </c>
      <c r="B160" s="554"/>
      <c r="C160" s="554"/>
      <c r="D160" s="575">
        <f>'ER1'!F62</f>
        <v>1477</v>
      </c>
      <c r="E160" s="554" t="s">
        <v>1641</v>
      </c>
      <c r="F160" s="554"/>
      <c r="G160" s="554"/>
      <c r="H160" s="559"/>
      <c r="I160" s="558"/>
      <c r="J160" s="559"/>
      <c r="K160" s="554"/>
      <c r="L160" s="554"/>
      <c r="M160" s="567"/>
      <c r="N160" s="554"/>
    </row>
    <row r="161" spans="1:14">
      <c r="A161" s="569" t="s">
        <v>1642</v>
      </c>
      <c r="B161" s="554"/>
      <c r="C161" s="554"/>
      <c r="D161" s="574">
        <f>WH!F96</f>
        <v>0</v>
      </c>
      <c r="E161" s="554" t="s">
        <v>1641</v>
      </c>
      <c r="F161" s="554"/>
      <c r="G161" s="554"/>
      <c r="H161" s="559"/>
      <c r="I161" s="558"/>
      <c r="J161" s="559"/>
      <c r="K161" s="554"/>
      <c r="L161" s="554"/>
      <c r="M161" s="567"/>
      <c r="N161" s="554"/>
    </row>
    <row r="162" spans="1:14">
      <c r="A162" s="569"/>
      <c r="B162" s="554"/>
      <c r="C162" s="554"/>
      <c r="D162" s="554"/>
      <c r="E162" s="554"/>
      <c r="F162" s="554"/>
      <c r="G162" s="554"/>
      <c r="H162" s="559"/>
      <c r="I162" s="558"/>
      <c r="J162" s="559"/>
      <c r="K162" s="554"/>
      <c r="L162" s="554"/>
      <c r="M162" s="567"/>
      <c r="N162" s="554"/>
    </row>
    <row r="163" spans="1:14">
      <c r="A163" s="569"/>
      <c r="B163" s="554"/>
      <c r="C163" s="554"/>
      <c r="D163" s="554"/>
      <c r="E163" s="554"/>
      <c r="F163" s="554"/>
      <c r="G163" s="554"/>
      <c r="H163" s="555" t="s">
        <v>1021</v>
      </c>
      <c r="I163" s="555" t="s">
        <v>1022</v>
      </c>
      <c r="J163" s="559"/>
      <c r="K163" s="555" t="s">
        <v>1643</v>
      </c>
      <c r="L163" s="554"/>
      <c r="M163" s="567"/>
      <c r="N163" s="554"/>
    </row>
    <row r="164" spans="1:14">
      <c r="A164" s="569" t="s">
        <v>925</v>
      </c>
      <c r="B164" s="554"/>
      <c r="C164" s="554"/>
      <c r="D164" s="554"/>
      <c r="E164" s="554"/>
      <c r="F164" s="554"/>
      <c r="G164" s="554"/>
      <c r="H164" s="555" t="s">
        <v>1024</v>
      </c>
      <c r="I164" s="555" t="s">
        <v>1029</v>
      </c>
      <c r="J164" s="555"/>
      <c r="K164" s="555" t="s">
        <v>1024</v>
      </c>
      <c r="L164" s="554"/>
      <c r="M164" s="567"/>
      <c r="N164" s="554"/>
    </row>
    <row r="165" spans="1:14">
      <c r="A165" s="569" t="s">
        <v>927</v>
      </c>
      <c r="B165" s="554" t="s">
        <v>16</v>
      </c>
      <c r="C165" s="554"/>
      <c r="D165" s="554" t="str">
        <f>IF(ISBLANK('ER1'!D40),"-",'ER1'!D40)</f>
        <v xml:space="preserve"> </v>
      </c>
      <c r="E165" s="554"/>
      <c r="F165" s="554"/>
      <c r="G165" s="554"/>
      <c r="H165" s="555" t="s">
        <v>1644</v>
      </c>
      <c r="I165" s="555" t="s">
        <v>914</v>
      </c>
      <c r="J165" s="555"/>
      <c r="K165" s="555" t="s">
        <v>811</v>
      </c>
      <c r="L165" s="554"/>
      <c r="M165" s="567"/>
      <c r="N165" s="554"/>
    </row>
    <row r="166" spans="1:14">
      <c r="A166" s="569"/>
      <c r="B166" s="554" t="s">
        <v>953</v>
      </c>
      <c r="C166" s="554"/>
      <c r="D166" s="554"/>
      <c r="E166" s="554"/>
      <c r="F166" s="554"/>
      <c r="G166" s="554"/>
      <c r="H166" s="559">
        <f>'ER1'!H41</f>
        <v>1.75</v>
      </c>
      <c r="I166" s="558">
        <f>'ER1'!I41</f>
        <v>0.224</v>
      </c>
      <c r="J166" s="559"/>
      <c r="K166" s="561">
        <f>'ER1'!F63</f>
        <v>0</v>
      </c>
      <c r="L166" s="554"/>
      <c r="M166" s="567"/>
      <c r="N166" s="554"/>
    </row>
    <row r="167" spans="1:14">
      <c r="A167" s="569"/>
      <c r="B167" s="554" t="s">
        <v>1645</v>
      </c>
      <c r="C167" s="554"/>
      <c r="D167" s="554"/>
      <c r="E167" s="554"/>
      <c r="F167" s="554"/>
      <c r="G167" s="554"/>
      <c r="H167" s="559">
        <f>'ER1'!H42</f>
        <v>0</v>
      </c>
      <c r="I167" s="558">
        <f>'ER1'!I42</f>
        <v>0</v>
      </c>
      <c r="J167" s="559"/>
      <c r="K167" s="561">
        <f>'ER1'!F64</f>
        <v>0</v>
      </c>
      <c r="L167" s="554"/>
      <c r="M167" s="567"/>
      <c r="N167" s="554"/>
    </row>
    <row r="168" spans="1:14">
      <c r="A168" s="569" t="s">
        <v>932</v>
      </c>
      <c r="B168" s="554" t="s">
        <v>16</v>
      </c>
      <c r="C168" s="554"/>
      <c r="D168" s="554" t="str">
        <f>IF(ISBLANK('ER1'!D43),"-",'ER1'!D43)</f>
        <v>-</v>
      </c>
      <c r="E168" s="554"/>
      <c r="F168" s="554"/>
      <c r="G168" s="554"/>
      <c r="H168" s="559" t="s">
        <v>206</v>
      </c>
      <c r="I168" s="558" t="s">
        <v>206</v>
      </c>
      <c r="J168" s="559"/>
      <c r="K168" s="561"/>
      <c r="L168" s="554"/>
      <c r="M168" s="567"/>
      <c r="N168" s="554"/>
    </row>
    <row r="169" spans="1:14">
      <c r="A169" s="569"/>
      <c r="B169" s="554" t="s">
        <v>953</v>
      </c>
      <c r="C169" s="554"/>
      <c r="D169" s="554"/>
      <c r="E169" s="554"/>
      <c r="F169" s="554"/>
      <c r="G169" s="554"/>
      <c r="H169" s="559">
        <f>'ER1'!H44</f>
        <v>0</v>
      </c>
      <c r="I169" s="558">
        <f>'ER1'!I44</f>
        <v>0</v>
      </c>
      <c r="J169" s="559"/>
      <c r="K169" s="561">
        <f>'ER1'!F65</f>
        <v>0</v>
      </c>
      <c r="L169" s="554"/>
      <c r="M169" s="567"/>
      <c r="N169" s="554"/>
    </row>
    <row r="170" spans="1:14">
      <c r="A170" s="569"/>
      <c r="B170" s="554" t="s">
        <v>1645</v>
      </c>
      <c r="C170" s="554"/>
      <c r="D170" s="554"/>
      <c r="E170" s="554"/>
      <c r="F170" s="554"/>
      <c r="G170" s="554"/>
      <c r="H170" s="559">
        <f>'ER1'!H45</f>
        <v>0</v>
      </c>
      <c r="I170" s="558">
        <f>'ER1'!I45</f>
        <v>0</v>
      </c>
      <c r="J170" s="559"/>
      <c r="K170" s="561">
        <f>'ER1'!F66</f>
        <v>0</v>
      </c>
      <c r="L170" s="554"/>
      <c r="M170" s="567"/>
      <c r="N170" s="554"/>
    </row>
    <row r="171" spans="1:14">
      <c r="A171" s="569" t="s">
        <v>936</v>
      </c>
      <c r="B171" s="554" t="s">
        <v>16</v>
      </c>
      <c r="C171" s="554"/>
      <c r="D171" s="554" t="str">
        <f>IF(ISBLANK('ER1'!D46),"-",'ER1'!D46)</f>
        <v>-</v>
      </c>
      <c r="E171" s="554"/>
      <c r="F171" s="554"/>
      <c r="G171" s="554"/>
      <c r="H171" s="559" t="s">
        <v>206</v>
      </c>
      <c r="I171" s="558" t="s">
        <v>206</v>
      </c>
      <c r="J171" s="559"/>
      <c r="K171" s="561"/>
      <c r="L171" s="554"/>
      <c r="M171" s="567"/>
      <c r="N171" s="554"/>
    </row>
    <row r="172" spans="1:14">
      <c r="A172" s="569"/>
      <c r="B172" s="554" t="s">
        <v>953</v>
      </c>
      <c r="C172" s="554"/>
      <c r="D172" s="554"/>
      <c r="E172" s="554"/>
      <c r="F172" s="554"/>
      <c r="G172" s="554"/>
      <c r="H172" s="559">
        <f>'ER1'!H47</f>
        <v>0</v>
      </c>
      <c r="I172" s="558">
        <f>'ER1'!I47</f>
        <v>0</v>
      </c>
      <c r="J172" s="559"/>
      <c r="K172" s="561">
        <f>'ER1'!F67</f>
        <v>0</v>
      </c>
      <c r="L172" s="554"/>
      <c r="M172" s="567"/>
      <c r="N172" s="554"/>
    </row>
    <row r="173" spans="1:14">
      <c r="A173" s="569"/>
      <c r="B173" s="554" t="s">
        <v>1645</v>
      </c>
      <c r="C173" s="554"/>
      <c r="D173" s="554"/>
      <c r="E173" s="554"/>
      <c r="F173" s="554"/>
      <c r="G173" s="554"/>
      <c r="H173" s="559">
        <f>'ER1'!H48</f>
        <v>0</v>
      </c>
      <c r="I173" s="558">
        <f>'ER1'!I48</f>
        <v>0</v>
      </c>
      <c r="J173" s="559"/>
      <c r="K173" s="561">
        <f>'ER1'!F68</f>
        <v>0</v>
      </c>
      <c r="L173" s="554"/>
      <c r="M173" s="567"/>
      <c r="N173" s="554"/>
    </row>
    <row r="174" spans="1:14">
      <c r="A174" s="554"/>
      <c r="B174" s="554"/>
      <c r="C174" s="554"/>
      <c r="D174" s="554"/>
      <c r="E174" s="554"/>
      <c r="F174" s="554"/>
      <c r="G174" s="554"/>
      <c r="H174" s="554"/>
      <c r="I174" s="554"/>
      <c r="J174" s="554"/>
      <c r="K174" s="554"/>
      <c r="L174" s="554"/>
      <c r="M174" s="567"/>
      <c r="N174" s="554"/>
    </row>
    <row r="175" spans="1:14">
      <c r="A175" s="554"/>
      <c r="B175" s="554"/>
      <c r="C175" s="554"/>
      <c r="D175" s="554"/>
      <c r="E175" s="554"/>
      <c r="F175" s="554"/>
      <c r="G175" s="554"/>
      <c r="H175" s="554"/>
      <c r="I175" s="554"/>
      <c r="J175" s="554"/>
      <c r="K175" s="554"/>
      <c r="L175" s="554"/>
      <c r="M175" s="554"/>
      <c r="N175" s="554"/>
    </row>
    <row r="176" spans="1:14" ht="13">
      <c r="A176" s="557" t="s">
        <v>1005</v>
      </c>
      <c r="B176" s="554"/>
      <c r="C176" s="554"/>
      <c r="D176" s="554"/>
      <c r="E176" s="554"/>
      <c r="F176" s="554"/>
      <c r="G176" s="554" t="str">
        <f>IF(I144=1,"Not applicable",":")</f>
        <v>Not applicable</v>
      </c>
      <c r="H176" s="554"/>
      <c r="I176" s="554"/>
      <c r="J176" s="554"/>
      <c r="K176" s="554"/>
      <c r="L176" s="554"/>
      <c r="M176" s="554"/>
      <c r="N176" s="554"/>
    </row>
    <row r="177" spans="1:14" ht="13">
      <c r="A177" s="573" t="s">
        <v>1646</v>
      </c>
      <c r="B177" s="572"/>
      <c r="C177" s="572"/>
      <c r="D177" s="572"/>
      <c r="E177" s="572"/>
      <c r="F177" s="572"/>
      <c r="G177" s="572"/>
      <c r="H177" s="572"/>
      <c r="I177" s="572"/>
      <c r="J177" s="572"/>
      <c r="K177" s="572"/>
      <c r="L177" s="572"/>
      <c r="M177" s="571"/>
      <c r="N177" s="554"/>
    </row>
    <row r="178" spans="1:14">
      <c r="A178" s="569" t="s">
        <v>1647</v>
      </c>
      <c r="B178" s="554"/>
      <c r="C178" s="554"/>
      <c r="D178" s="554"/>
      <c r="E178" s="554"/>
      <c r="F178" s="554"/>
      <c r="G178" s="554"/>
      <c r="H178" s="554"/>
      <c r="I178" s="554"/>
      <c r="J178" s="554"/>
      <c r="K178" s="554"/>
      <c r="L178" s="555">
        <f>'ER2'!K6</f>
        <v>0</v>
      </c>
      <c r="M178" s="567"/>
      <c r="N178" s="554"/>
    </row>
    <row r="179" spans="1:14">
      <c r="A179" s="569" t="s">
        <v>1648</v>
      </c>
      <c r="B179" s="554"/>
      <c r="C179" s="554"/>
      <c r="D179" s="554"/>
      <c r="E179" s="554"/>
      <c r="F179" s="554"/>
      <c r="G179" s="554"/>
      <c r="H179" s="554"/>
      <c r="I179" s="554"/>
      <c r="J179" s="554"/>
      <c r="K179" s="554"/>
      <c r="L179" s="555">
        <f>'ER2'!K7</f>
        <v>0</v>
      </c>
      <c r="M179" s="567"/>
      <c r="N179" s="554"/>
    </row>
    <row r="180" spans="1:14">
      <c r="A180" s="569"/>
      <c r="B180" s="554"/>
      <c r="C180" s="554"/>
      <c r="D180" s="554"/>
      <c r="E180" s="554"/>
      <c r="F180" s="554"/>
      <c r="G180" s="554"/>
      <c r="H180" s="554"/>
      <c r="I180" s="554"/>
      <c r="J180" s="554"/>
      <c r="K180" s="554"/>
      <c r="L180" s="555"/>
      <c r="M180" s="567"/>
      <c r="N180" s="554"/>
    </row>
    <row r="181" spans="1:14" ht="13">
      <c r="A181" s="570" t="s">
        <v>1010</v>
      </c>
      <c r="B181" s="554"/>
      <c r="C181" s="554"/>
      <c r="D181" s="554"/>
      <c r="E181" s="554"/>
      <c r="F181" s="554"/>
      <c r="G181" s="554"/>
      <c r="H181" s="554"/>
      <c r="I181" s="554"/>
      <c r="J181" s="554"/>
      <c r="K181" s="554"/>
      <c r="L181" s="555"/>
      <c r="M181" s="567"/>
      <c r="N181" s="554"/>
    </row>
    <row r="182" spans="1:14">
      <c r="A182" s="569" t="s">
        <v>1011</v>
      </c>
      <c r="B182" s="554"/>
      <c r="C182" s="554"/>
      <c r="D182" s="554"/>
      <c r="E182" s="554"/>
      <c r="F182" s="554"/>
      <c r="G182" s="554"/>
      <c r="H182" s="555" t="str">
        <f>'ER2'!G11</f>
        <v>Yes</v>
      </c>
      <c r="I182" s="554"/>
      <c r="J182" s="554"/>
      <c r="K182" s="554"/>
      <c r="L182" s="555"/>
      <c r="M182" s="567"/>
      <c r="N182" s="554"/>
    </row>
    <row r="183" spans="1:14">
      <c r="A183" s="569" t="s">
        <v>1015</v>
      </c>
      <c r="B183" s="554"/>
      <c r="C183" s="554"/>
      <c r="D183" s="554"/>
      <c r="E183" s="554"/>
      <c r="F183" s="554"/>
      <c r="G183" s="554"/>
      <c r="H183" s="555">
        <f>'ER2'!H16</f>
        <v>0</v>
      </c>
      <c r="I183" s="554"/>
      <c r="J183" s="554"/>
      <c r="K183" s="554"/>
      <c r="L183" s="555"/>
      <c r="M183" s="567"/>
      <c r="N183" s="554"/>
    </row>
    <row r="184" spans="1:14">
      <c r="A184" s="569" t="s">
        <v>1016</v>
      </c>
      <c r="B184" s="554"/>
      <c r="C184" s="554"/>
      <c r="D184" s="554"/>
      <c r="E184" s="554"/>
      <c r="F184" s="554"/>
      <c r="G184" s="554"/>
      <c r="H184" s="555">
        <f>'ER2'!H17</f>
        <v>0</v>
      </c>
      <c r="I184" s="554"/>
      <c r="J184" s="554"/>
      <c r="K184" s="554"/>
      <c r="L184" s="555"/>
      <c r="M184" s="567"/>
      <c r="N184" s="554"/>
    </row>
    <row r="185" spans="1:14" ht="13">
      <c r="A185" s="570" t="s">
        <v>1019</v>
      </c>
      <c r="B185" s="554"/>
      <c r="C185" s="554"/>
      <c r="D185" s="554"/>
      <c r="E185" s="554"/>
      <c r="F185" s="554"/>
      <c r="G185" s="554"/>
      <c r="H185" s="555"/>
      <c r="I185" s="554"/>
      <c r="J185" s="554"/>
      <c r="K185" s="554"/>
      <c r="L185" s="555"/>
      <c r="M185" s="567"/>
      <c r="N185" s="554"/>
    </row>
    <row r="186" spans="1:14">
      <c r="A186" s="569"/>
      <c r="B186" s="554" t="s">
        <v>1649</v>
      </c>
      <c r="C186" s="554"/>
      <c r="D186" s="554"/>
      <c r="E186" s="554"/>
      <c r="F186" s="554"/>
      <c r="G186" s="554"/>
      <c r="H186" s="555"/>
      <c r="I186" s="554"/>
      <c r="J186" s="554"/>
      <c r="K186" s="554"/>
      <c r="L186" s="555"/>
      <c r="M186" s="567"/>
      <c r="N186" s="554"/>
    </row>
    <row r="187" spans="1:14">
      <c r="A187" s="569"/>
      <c r="B187" s="554"/>
      <c r="C187" s="554"/>
      <c r="D187" s="554"/>
      <c r="E187" s="554"/>
      <c r="F187" s="554"/>
      <c r="G187" s="554"/>
      <c r="H187" s="555"/>
      <c r="I187" s="554"/>
      <c r="J187" s="554"/>
      <c r="K187" s="554"/>
      <c r="L187" s="555"/>
      <c r="M187" s="567"/>
      <c r="N187" s="554"/>
    </row>
    <row r="188" spans="1:14">
      <c r="A188" s="569"/>
      <c r="B188" s="554" t="s">
        <v>1026</v>
      </c>
      <c r="C188" s="554"/>
      <c r="D188" s="554" t="s">
        <v>187</v>
      </c>
      <c r="E188" s="554"/>
      <c r="F188" s="554"/>
      <c r="G188" s="554"/>
      <c r="H188" s="554" t="s">
        <v>1027</v>
      </c>
      <c r="I188" s="554" t="s">
        <v>1650</v>
      </c>
      <c r="J188" s="554"/>
      <c r="K188" s="554"/>
      <c r="L188" s="555"/>
      <c r="M188" s="567"/>
      <c r="N188" s="554"/>
    </row>
    <row r="189" spans="1:14">
      <c r="A189" s="569"/>
      <c r="B189" s="554"/>
      <c r="C189" s="554"/>
      <c r="D189" s="554"/>
      <c r="E189" s="554"/>
      <c r="F189" s="554"/>
      <c r="G189" s="554"/>
      <c r="H189" s="554" t="s">
        <v>885</v>
      </c>
      <c r="I189" s="554" t="s">
        <v>1651</v>
      </c>
      <c r="J189" s="554"/>
      <c r="K189" s="554"/>
      <c r="L189" s="555"/>
      <c r="M189" s="567"/>
      <c r="N189" s="554"/>
    </row>
    <row r="190" spans="1:14">
      <c r="A190" s="569"/>
      <c r="B190" s="554" t="str">
        <f>'ER2'!A24</f>
        <v>Central Boiler</v>
      </c>
      <c r="C190" s="554"/>
      <c r="D190" s="554" t="str">
        <f>'ER2'!C24</f>
        <v>mains gas</v>
      </c>
      <c r="E190" s="554"/>
      <c r="F190" s="554"/>
      <c r="G190" s="554"/>
      <c r="H190" s="555">
        <f>'ER2'!H24</f>
        <v>0</v>
      </c>
      <c r="I190" s="554">
        <f>'ER2'!J24</f>
        <v>0</v>
      </c>
      <c r="J190" s="554"/>
      <c r="K190" s="554"/>
      <c r="L190" s="555"/>
      <c r="M190" s="567"/>
      <c r="N190" s="554"/>
    </row>
    <row r="191" spans="1:14">
      <c r="A191" s="569"/>
      <c r="B191" s="554" t="str">
        <f>'ER2'!A25</f>
        <v>Central Boiler</v>
      </c>
      <c r="C191" s="554"/>
      <c r="D191" s="554" t="str">
        <f>'ER2'!C25</f>
        <v>wood pellets - bulk supply, for main htg</v>
      </c>
      <c r="E191" s="554"/>
      <c r="F191" s="554"/>
      <c r="G191" s="554"/>
      <c r="H191" s="555">
        <f>'ER2'!H25</f>
        <v>0</v>
      </c>
      <c r="I191" s="554">
        <f>'ER2'!J25</f>
        <v>0</v>
      </c>
      <c r="J191" s="554"/>
      <c r="K191" s="554"/>
      <c r="L191" s="555"/>
      <c r="M191" s="567"/>
      <c r="N191" s="554"/>
    </row>
    <row r="192" spans="1:14">
      <c r="A192" s="569"/>
      <c r="B192" s="554" t="str">
        <f>'ER2'!A26</f>
        <v>Heat Pump</v>
      </c>
      <c r="C192" s="554"/>
      <c r="D192" s="554" t="str">
        <f>'ER2'!C26</f>
        <v>electricity</v>
      </c>
      <c r="E192" s="554"/>
      <c r="F192" s="554"/>
      <c r="G192" s="554"/>
      <c r="H192" s="555">
        <f>'ER2'!H26</f>
        <v>0</v>
      </c>
      <c r="I192" s="554">
        <f>'ER2'!J26</f>
        <v>0</v>
      </c>
      <c r="J192" s="554"/>
      <c r="K192" s="554"/>
      <c r="L192" s="555"/>
      <c r="M192" s="567"/>
      <c r="N192" s="554"/>
    </row>
    <row r="193" spans="1:14">
      <c r="A193" s="569"/>
      <c r="B193" s="554" t="str">
        <f>'ER2'!A27</f>
        <v>Heat Pump</v>
      </c>
      <c r="C193" s="554"/>
      <c r="D193" s="554" t="str">
        <f>'ER2'!C27</f>
        <v>electricity</v>
      </c>
      <c r="E193" s="554"/>
      <c r="F193" s="554"/>
      <c r="G193" s="554"/>
      <c r="H193" s="555">
        <f>'ER2'!H27</f>
        <v>0</v>
      </c>
      <c r="I193" s="554">
        <f>'ER2'!J27</f>
        <v>0</v>
      </c>
      <c r="J193" s="554"/>
      <c r="K193" s="554"/>
      <c r="L193" s="555"/>
      <c r="M193" s="567"/>
      <c r="N193" s="554"/>
    </row>
    <row r="194" spans="1:14">
      <c r="A194" s="569"/>
      <c r="B194" s="554" t="s">
        <v>1032</v>
      </c>
      <c r="C194" s="554"/>
      <c r="D194" s="554"/>
      <c r="E194" s="554"/>
      <c r="F194" s="554"/>
      <c r="G194" s="554"/>
      <c r="H194" s="555"/>
      <c r="I194" s="554">
        <f>'ER2'!J28</f>
        <v>0</v>
      </c>
      <c r="J194" s="554"/>
      <c r="K194" s="554"/>
      <c r="L194" s="555"/>
      <c r="M194" s="567"/>
      <c r="N194" s="554"/>
    </row>
    <row r="195" spans="1:14" ht="13">
      <c r="A195" s="570" t="s">
        <v>1652</v>
      </c>
      <c r="B195" s="554"/>
      <c r="C195" s="554"/>
      <c r="D195" s="554"/>
      <c r="E195" s="554"/>
      <c r="F195" s="554"/>
      <c r="G195" s="554"/>
      <c r="H195" s="554"/>
      <c r="I195" s="554"/>
      <c r="J195" s="554"/>
      <c r="K195" s="554"/>
      <c r="L195" s="555"/>
      <c r="M195" s="567"/>
      <c r="N195" s="554"/>
    </row>
    <row r="196" spans="1:14">
      <c r="A196" s="569"/>
      <c r="B196" s="554" t="s">
        <v>1653</v>
      </c>
      <c r="C196" s="554"/>
      <c r="D196" s="554"/>
      <c r="E196" s="554"/>
      <c r="F196" s="554"/>
      <c r="G196" s="554"/>
      <c r="H196" s="554"/>
      <c r="I196" s="554"/>
      <c r="J196" s="554"/>
      <c r="K196" s="554"/>
      <c r="L196" s="555"/>
      <c r="M196" s="567"/>
      <c r="N196" s="554"/>
    </row>
    <row r="197" spans="1:14">
      <c r="A197" s="569"/>
      <c r="B197" s="554" t="s">
        <v>832</v>
      </c>
      <c r="C197" s="554"/>
      <c r="D197" s="554"/>
      <c r="E197" s="554"/>
      <c r="F197" s="554"/>
      <c r="G197" s="554" t="str">
        <f>'ER2'!G33</f>
        <v>District Heating</v>
      </c>
      <c r="H197" s="554"/>
      <c r="I197" s="554"/>
      <c r="J197" s="554"/>
      <c r="K197" s="555">
        <f>'ER2'!J33</f>
        <v>2</v>
      </c>
      <c r="L197" s="555"/>
      <c r="M197" s="567"/>
      <c r="N197" s="554"/>
    </row>
    <row r="198" spans="1:14">
      <c r="A198" s="569"/>
      <c r="B198" s="554" t="s">
        <v>1039</v>
      </c>
      <c r="C198" s="554"/>
      <c r="D198" s="554"/>
      <c r="E198" s="554"/>
      <c r="F198" s="554"/>
      <c r="G198" s="554"/>
      <c r="H198" s="554"/>
      <c r="I198" s="554"/>
      <c r="J198" s="554"/>
      <c r="K198" s="554"/>
      <c r="L198" s="555"/>
      <c r="M198" s="567"/>
      <c r="N198" s="554"/>
    </row>
    <row r="199" spans="1:14">
      <c r="A199" s="569"/>
      <c r="B199" s="554"/>
      <c r="C199" s="554" t="s">
        <v>1040</v>
      </c>
      <c r="D199" s="554"/>
      <c r="E199" s="554"/>
      <c r="F199" s="554"/>
      <c r="G199" s="554"/>
      <c r="H199" s="554"/>
      <c r="I199" s="554"/>
      <c r="J199" s="554"/>
      <c r="K199" s="554"/>
      <c r="L199" s="555">
        <f>'ER2'!L35</f>
        <v>0</v>
      </c>
      <c r="M199" s="567"/>
      <c r="N199" s="554"/>
    </row>
    <row r="200" spans="1:14">
      <c r="A200" s="569"/>
      <c r="B200" s="554"/>
      <c r="C200" s="554" t="s">
        <v>1041</v>
      </c>
      <c r="D200" s="554"/>
      <c r="E200" s="554"/>
      <c r="F200" s="554"/>
      <c r="G200" s="554"/>
      <c r="H200" s="554"/>
      <c r="I200" s="554"/>
      <c r="J200" s="554"/>
      <c r="K200" s="554"/>
      <c r="L200" s="555">
        <f>'ER2'!L36</f>
        <v>0</v>
      </c>
      <c r="M200" s="567"/>
      <c r="N200" s="554"/>
    </row>
    <row r="201" spans="1:14">
      <c r="A201" s="569"/>
      <c r="B201" s="554"/>
      <c r="C201" s="554" t="s">
        <v>1042</v>
      </c>
      <c r="D201" s="554"/>
      <c r="E201" s="554"/>
      <c r="F201" s="554"/>
      <c r="G201" s="554" t="str">
        <f>'ER2'!G37</f>
        <v>mains gas</v>
      </c>
      <c r="H201" s="554"/>
      <c r="I201" s="554"/>
      <c r="J201" s="554"/>
      <c r="K201" s="554"/>
      <c r="L201" s="555"/>
      <c r="M201" s="567"/>
      <c r="N201" s="554"/>
    </row>
    <row r="202" spans="1:14">
      <c r="A202" s="569"/>
      <c r="B202" s="554"/>
      <c r="C202" s="554"/>
      <c r="D202" s="554"/>
      <c r="E202" s="554"/>
      <c r="F202" s="554"/>
      <c r="G202" s="554"/>
      <c r="H202" s="554"/>
      <c r="I202" s="554"/>
      <c r="J202" s="554"/>
      <c r="K202" s="554"/>
      <c r="L202" s="555"/>
      <c r="M202" s="567"/>
      <c r="N202" s="554"/>
    </row>
    <row r="203" spans="1:14">
      <c r="A203" s="569"/>
      <c r="B203" s="554" t="s">
        <v>1654</v>
      </c>
      <c r="C203" s="554"/>
      <c r="D203" s="554"/>
      <c r="E203" s="554"/>
      <c r="F203" s="554"/>
      <c r="G203" s="554"/>
      <c r="H203" s="554"/>
      <c r="I203" s="554"/>
      <c r="J203" s="554"/>
      <c r="K203" s="554"/>
      <c r="L203" s="555"/>
      <c r="M203" s="567"/>
      <c r="N203" s="554"/>
    </row>
    <row r="204" spans="1:14">
      <c r="A204" s="569"/>
      <c r="B204" s="554"/>
      <c r="C204" s="69" t="s">
        <v>1048</v>
      </c>
      <c r="E204" s="554"/>
      <c r="F204" s="554"/>
      <c r="G204" s="554">
        <f>'ER2'!J44</f>
        <v>0</v>
      </c>
      <c r="H204" s="554"/>
      <c r="I204" s="554"/>
      <c r="J204" s="554"/>
      <c r="K204" s="554"/>
      <c r="L204" s="555"/>
      <c r="M204" s="567"/>
      <c r="N204" s="554"/>
    </row>
    <row r="205" spans="1:14">
      <c r="A205" s="569"/>
      <c r="B205" s="554"/>
      <c r="C205" s="69" t="s">
        <v>1049</v>
      </c>
      <c r="D205" s="554"/>
      <c r="E205" s="554"/>
      <c r="F205" s="554"/>
      <c r="G205" s="554">
        <f>'ER2'!K44</f>
        <v>0</v>
      </c>
      <c r="H205" s="554"/>
      <c r="I205" s="554"/>
      <c r="J205" s="554"/>
      <c r="K205" s="554"/>
      <c r="L205" s="555"/>
      <c r="M205" s="567"/>
      <c r="N205" s="554"/>
    </row>
    <row r="206" spans="1:14">
      <c r="A206" s="569"/>
      <c r="B206" s="554"/>
      <c r="C206" s="554" t="s">
        <v>1655</v>
      </c>
      <c r="D206" s="554"/>
      <c r="E206" s="554"/>
      <c r="F206" s="554"/>
      <c r="G206" s="554">
        <f>'ER2'!L44</f>
        <v>0</v>
      </c>
      <c r="H206" s="554"/>
      <c r="I206" s="554"/>
      <c r="J206" s="554"/>
      <c r="K206" s="554"/>
      <c r="L206" s="555"/>
      <c r="M206" s="567"/>
      <c r="N206" s="554"/>
    </row>
    <row r="207" spans="1:14">
      <c r="A207" s="569"/>
      <c r="B207" s="554"/>
      <c r="C207" s="554"/>
      <c r="D207" s="554"/>
      <c r="E207" s="554"/>
      <c r="F207" s="554"/>
      <c r="G207" s="554"/>
      <c r="H207" s="554"/>
      <c r="I207" s="554"/>
      <c r="J207" s="554"/>
      <c r="K207" s="554"/>
      <c r="L207" s="555"/>
      <c r="M207" s="567"/>
      <c r="N207" s="554"/>
    </row>
    <row r="208" spans="1:14" ht="13">
      <c r="A208" s="570" t="s">
        <v>911</v>
      </c>
      <c r="B208" s="554"/>
      <c r="C208" s="554"/>
      <c r="D208" s="554" t="s">
        <v>187</v>
      </c>
      <c r="E208" s="554"/>
      <c r="F208" s="554"/>
      <c r="G208" s="554"/>
      <c r="H208" s="555"/>
      <c r="I208" s="555"/>
      <c r="J208" s="555"/>
      <c r="K208" s="554"/>
      <c r="L208" s="555"/>
      <c r="M208" s="567"/>
      <c r="N208" s="554"/>
    </row>
    <row r="209" spans="1:14">
      <c r="A209" s="569" t="s">
        <v>919</v>
      </c>
      <c r="B209" s="554"/>
      <c r="C209" s="554"/>
      <c r="D209" s="554" t="str">
        <f>'ER2'!D56</f>
        <v>-</v>
      </c>
      <c r="E209" s="554"/>
      <c r="F209" s="554"/>
      <c r="G209" s="554"/>
      <c r="H209" s="559"/>
      <c r="I209" s="558"/>
      <c r="J209" s="559"/>
      <c r="K209" s="568"/>
      <c r="L209" s="554"/>
      <c r="M209" s="567"/>
      <c r="N209" s="554"/>
    </row>
    <row r="210" spans="1:14">
      <c r="A210" s="569" t="s">
        <v>1656</v>
      </c>
      <c r="B210" s="554"/>
      <c r="C210" s="554"/>
      <c r="D210" s="575">
        <f>'ER2'!E83</f>
        <v>0</v>
      </c>
      <c r="E210" s="554" t="s">
        <v>558</v>
      </c>
      <c r="F210" s="554"/>
      <c r="G210" s="554"/>
      <c r="H210" s="559"/>
      <c r="I210" s="558"/>
      <c r="J210" s="559"/>
      <c r="K210" s="568"/>
      <c r="L210" s="554"/>
      <c r="M210" s="567"/>
      <c r="N210" s="554"/>
    </row>
    <row r="211" spans="1:14">
      <c r="A211" s="569" t="s">
        <v>1155</v>
      </c>
      <c r="B211" s="554"/>
      <c r="C211" s="554"/>
      <c r="D211" s="574">
        <f>WH!F96</f>
        <v>0</v>
      </c>
      <c r="E211" s="554" t="s">
        <v>558</v>
      </c>
      <c r="F211" s="554"/>
      <c r="G211" s="554"/>
      <c r="H211" s="559"/>
      <c r="I211" s="558"/>
      <c r="J211" s="559"/>
      <c r="K211" s="568"/>
      <c r="L211" s="554"/>
      <c r="M211" s="567"/>
      <c r="N211" s="554"/>
    </row>
    <row r="212" spans="1:14">
      <c r="A212" s="569"/>
      <c r="B212" s="554"/>
      <c r="C212" s="554"/>
      <c r="D212" s="554"/>
      <c r="E212" s="554"/>
      <c r="F212" s="554"/>
      <c r="G212" s="554"/>
      <c r="H212" s="555" t="s">
        <v>1021</v>
      </c>
      <c r="I212" s="555" t="s">
        <v>1022</v>
      </c>
      <c r="J212" s="559"/>
      <c r="K212" s="568" t="s">
        <v>1643</v>
      </c>
      <c r="L212" s="554"/>
      <c r="M212" s="567"/>
      <c r="N212" s="554"/>
    </row>
    <row r="213" spans="1:14">
      <c r="A213" s="569" t="s">
        <v>925</v>
      </c>
      <c r="B213" s="554"/>
      <c r="C213" s="554"/>
      <c r="D213" s="554"/>
      <c r="E213" s="554"/>
      <c r="F213" s="554"/>
      <c r="G213" s="554"/>
      <c r="H213" s="555" t="s">
        <v>1024</v>
      </c>
      <c r="I213" s="555" t="s">
        <v>1029</v>
      </c>
      <c r="J213" s="555"/>
      <c r="K213" s="555" t="s">
        <v>1024</v>
      </c>
      <c r="L213" s="554"/>
      <c r="M213" s="567"/>
      <c r="N213" s="554"/>
    </row>
    <row r="214" spans="1:14">
      <c r="A214" s="569" t="s">
        <v>927</v>
      </c>
      <c r="B214" s="554" t="s">
        <v>16</v>
      </c>
      <c r="C214" s="554"/>
      <c r="D214" s="554" t="str">
        <f>IF(ISBLANK('ER2'!D63),"-",'ER2'!D63)</f>
        <v>-</v>
      </c>
      <c r="E214" s="554"/>
      <c r="F214" s="554"/>
      <c r="G214" s="554"/>
      <c r="H214" s="555" t="s">
        <v>1644</v>
      </c>
      <c r="I214" s="555" t="s">
        <v>914</v>
      </c>
      <c r="J214" s="555"/>
      <c r="K214" s="555" t="s">
        <v>811</v>
      </c>
      <c r="L214" s="554"/>
      <c r="M214" s="567"/>
      <c r="N214" s="554"/>
    </row>
    <row r="215" spans="1:14">
      <c r="A215" s="569"/>
      <c r="B215" s="554" t="s">
        <v>953</v>
      </c>
      <c r="C215" s="554"/>
      <c r="D215" s="554"/>
      <c r="E215" s="554"/>
      <c r="F215" s="554"/>
      <c r="G215" s="554"/>
      <c r="H215" s="559">
        <f>'ER2'!H64</f>
        <v>0</v>
      </c>
      <c r="I215" s="558">
        <f>'ER2'!I64</f>
        <v>0</v>
      </c>
      <c r="J215" s="559"/>
      <c r="K215" s="568">
        <f>'ER2'!E84</f>
        <v>0</v>
      </c>
      <c r="L215" s="554"/>
      <c r="M215" s="567"/>
      <c r="N215" s="554"/>
    </row>
    <row r="216" spans="1:14">
      <c r="A216" s="569"/>
      <c r="B216" s="554" t="s">
        <v>1645</v>
      </c>
      <c r="C216" s="554"/>
      <c r="D216" s="554"/>
      <c r="E216" s="554"/>
      <c r="F216" s="554"/>
      <c r="G216" s="554"/>
      <c r="H216" s="559">
        <f>'ER2'!H65</f>
        <v>0</v>
      </c>
      <c r="I216" s="558">
        <f>'ER2'!I65</f>
        <v>0</v>
      </c>
      <c r="J216" s="559"/>
      <c r="K216" s="568">
        <f>'ER2'!E85</f>
        <v>0</v>
      </c>
      <c r="L216" s="554"/>
      <c r="M216" s="567"/>
      <c r="N216" s="554"/>
    </row>
    <row r="217" spans="1:14">
      <c r="A217" s="569" t="s">
        <v>932</v>
      </c>
      <c r="B217" s="554" t="s">
        <v>16</v>
      </c>
      <c r="C217" s="554"/>
      <c r="D217" s="554" t="str">
        <f>IF(ISBLANK('ER2'!D66),"-",'ER2'!D66)</f>
        <v>-</v>
      </c>
      <c r="E217" s="554"/>
      <c r="F217" s="554"/>
      <c r="G217" s="554"/>
      <c r="H217" s="559" t="s">
        <v>206</v>
      </c>
      <c r="I217" s="558" t="s">
        <v>206</v>
      </c>
      <c r="J217" s="559"/>
      <c r="K217" s="568" t="s">
        <v>206</v>
      </c>
      <c r="L217" s="554"/>
      <c r="M217" s="567"/>
      <c r="N217" s="554"/>
    </row>
    <row r="218" spans="1:14">
      <c r="A218" s="569"/>
      <c r="B218" s="554" t="s">
        <v>953</v>
      </c>
      <c r="C218" s="554"/>
      <c r="D218" s="554"/>
      <c r="E218" s="554"/>
      <c r="F218" s="554"/>
      <c r="G218" s="554"/>
      <c r="H218" s="559">
        <f>'ER2'!H67</f>
        <v>0</v>
      </c>
      <c r="I218" s="558">
        <f>'ER2'!I67</f>
        <v>0</v>
      </c>
      <c r="J218" s="559"/>
      <c r="K218" s="568">
        <f>'ER2'!E87</f>
        <v>0</v>
      </c>
      <c r="L218" s="554"/>
      <c r="M218" s="567"/>
      <c r="N218" s="554"/>
    </row>
    <row r="219" spans="1:14">
      <c r="A219" s="569"/>
      <c r="B219" s="554" t="s">
        <v>1645</v>
      </c>
      <c r="C219" s="554"/>
      <c r="D219" s="554"/>
      <c r="E219" s="554"/>
      <c r="F219" s="554"/>
      <c r="G219" s="554"/>
      <c r="H219" s="559">
        <f>'ER2'!H68</f>
        <v>0</v>
      </c>
      <c r="I219" s="558">
        <f>'ER2'!I68</f>
        <v>0</v>
      </c>
      <c r="J219" s="559"/>
      <c r="K219" s="568">
        <f>'ER2'!E88</f>
        <v>0</v>
      </c>
      <c r="L219" s="554"/>
      <c r="M219" s="567"/>
      <c r="N219" s="554"/>
    </row>
    <row r="220" spans="1:14">
      <c r="A220" s="569" t="s">
        <v>936</v>
      </c>
      <c r="B220" s="554" t="s">
        <v>16</v>
      </c>
      <c r="C220" s="554"/>
      <c r="D220" s="554" t="str">
        <f>IF(ISBLANK('ER2'!D69),"-",'ER2'!D69)</f>
        <v>-</v>
      </c>
      <c r="E220" s="554"/>
      <c r="F220" s="554"/>
      <c r="G220" s="554"/>
      <c r="H220" s="559" t="s">
        <v>206</v>
      </c>
      <c r="I220" s="558" t="s">
        <v>206</v>
      </c>
      <c r="J220" s="559"/>
      <c r="K220" s="568" t="s">
        <v>206</v>
      </c>
      <c r="L220" s="554"/>
      <c r="M220" s="567"/>
      <c r="N220" s="554"/>
    </row>
    <row r="221" spans="1:14">
      <c r="A221" s="569"/>
      <c r="B221" s="554" t="s">
        <v>953</v>
      </c>
      <c r="C221" s="554"/>
      <c r="D221" s="554"/>
      <c r="E221" s="554"/>
      <c r="F221" s="554"/>
      <c r="G221" s="554"/>
      <c r="H221" s="559">
        <f>'ER2'!H70</f>
        <v>0</v>
      </c>
      <c r="I221" s="558">
        <f>'ER2'!I70</f>
        <v>0</v>
      </c>
      <c r="J221" s="559"/>
      <c r="K221" s="568">
        <f>'ER2'!E90</f>
        <v>0</v>
      </c>
      <c r="L221" s="554"/>
      <c r="M221" s="567"/>
      <c r="N221" s="554"/>
    </row>
    <row r="222" spans="1:14">
      <c r="A222" s="569"/>
      <c r="B222" s="554" t="s">
        <v>1645</v>
      </c>
      <c r="C222" s="554"/>
      <c r="D222" s="554"/>
      <c r="E222" s="554"/>
      <c r="F222" s="554"/>
      <c r="G222" s="554"/>
      <c r="H222" s="559">
        <f>'ER2'!H71</f>
        <v>0</v>
      </c>
      <c r="I222" s="558">
        <f>'ER2'!I71</f>
        <v>0</v>
      </c>
      <c r="J222" s="559"/>
      <c r="K222" s="568">
        <f>'ER2'!E91</f>
        <v>0</v>
      </c>
      <c r="L222" s="554"/>
      <c r="M222" s="567"/>
      <c r="N222" s="554"/>
    </row>
    <row r="223" spans="1:14">
      <c r="A223" s="566"/>
      <c r="B223" s="566"/>
      <c r="C223" s="566"/>
      <c r="D223" s="566"/>
      <c r="E223" s="566"/>
      <c r="F223" s="566"/>
      <c r="G223" s="566"/>
      <c r="H223" s="566"/>
      <c r="I223" s="566"/>
      <c r="J223" s="566"/>
      <c r="K223" s="566"/>
      <c r="L223" s="566"/>
      <c r="M223" s="565"/>
      <c r="N223" s="554"/>
    </row>
    <row r="224" spans="1:14">
      <c r="A224" s="554"/>
      <c r="B224" s="554"/>
      <c r="C224" s="554"/>
      <c r="D224" s="554"/>
      <c r="E224" s="554"/>
      <c r="F224" s="554"/>
      <c r="G224" s="554"/>
      <c r="H224" s="554"/>
      <c r="I224" s="554"/>
      <c r="J224" s="554"/>
      <c r="K224" s="554"/>
      <c r="L224" s="554"/>
      <c r="M224" s="554"/>
      <c r="N224" s="554"/>
    </row>
    <row r="225" spans="1:14" ht="13">
      <c r="A225" s="557" t="s">
        <v>1105</v>
      </c>
      <c r="B225" s="554"/>
      <c r="C225" s="554"/>
      <c r="D225" s="554"/>
      <c r="E225" s="554"/>
      <c r="F225" s="554"/>
      <c r="G225" s="554"/>
      <c r="H225" s="554"/>
      <c r="I225" s="554"/>
      <c r="J225" s="554"/>
      <c r="K225" s="554"/>
      <c r="L225" s="554"/>
      <c r="M225" s="554"/>
      <c r="N225" s="554"/>
    </row>
    <row r="226" spans="1:14" ht="28">
      <c r="A226" s="554"/>
      <c r="B226" s="554"/>
      <c r="C226" s="554"/>
      <c r="D226" s="554"/>
      <c r="E226" s="564" t="s">
        <v>940</v>
      </c>
      <c r="F226" s="564" t="s">
        <v>941</v>
      </c>
      <c r="G226" s="564" t="s">
        <v>1106</v>
      </c>
      <c r="H226" s="564"/>
      <c r="I226" s="554"/>
      <c r="J226" s="554"/>
      <c r="K226" s="554"/>
      <c r="L226" s="554"/>
      <c r="M226" s="554"/>
      <c r="N226" s="554"/>
    </row>
    <row r="227" spans="1:14">
      <c r="A227" s="554"/>
      <c r="B227" s="554"/>
      <c r="C227" s="554"/>
      <c r="D227" s="554"/>
      <c r="E227" s="555" t="s">
        <v>811</v>
      </c>
      <c r="F227" s="555" t="s">
        <v>811</v>
      </c>
      <c r="G227" s="555" t="s">
        <v>943</v>
      </c>
      <c r="H227" s="555"/>
      <c r="I227" s="554"/>
      <c r="J227" s="554"/>
      <c r="K227" s="554"/>
      <c r="L227" s="554"/>
      <c r="M227" s="554"/>
      <c r="N227" s="554"/>
    </row>
    <row r="228" spans="1:14">
      <c r="A228" s="554" t="s">
        <v>917</v>
      </c>
      <c r="B228" s="554"/>
      <c r="C228" s="554"/>
      <c r="D228" s="554"/>
      <c r="E228" s="561">
        <f>Result!E4</f>
        <v>3089.9822890565615</v>
      </c>
      <c r="F228" s="561">
        <f>Result!F4</f>
        <v>3398.9805179622181</v>
      </c>
      <c r="G228" s="561">
        <f>Result!G4</f>
        <v>627.26640467848199</v>
      </c>
      <c r="H228" s="561"/>
      <c r="I228" s="554"/>
      <c r="J228" s="554"/>
      <c r="K228" s="554"/>
      <c r="L228" s="554"/>
      <c r="M228" s="554"/>
      <c r="N228" s="554"/>
    </row>
    <row r="229" spans="1:14">
      <c r="A229" s="554" t="s">
        <v>919</v>
      </c>
      <c r="B229" s="554"/>
      <c r="C229" s="554"/>
      <c r="D229" s="554"/>
      <c r="E229" s="561">
        <f>Result!E5</f>
        <v>0</v>
      </c>
      <c r="F229" s="561">
        <f>Result!F5</f>
        <v>0</v>
      </c>
      <c r="G229" s="561">
        <f>Result!G5</f>
        <v>0</v>
      </c>
      <c r="H229" s="561"/>
      <c r="I229" s="554"/>
      <c r="J229" s="554"/>
      <c r="K229" s="554"/>
      <c r="L229" s="554"/>
      <c r="M229" s="554"/>
      <c r="N229" s="554"/>
    </row>
    <row r="230" spans="1:14">
      <c r="A230" s="554" t="s">
        <v>920</v>
      </c>
      <c r="B230" s="554"/>
      <c r="C230" s="554"/>
      <c r="D230" s="554"/>
      <c r="E230" s="561">
        <f>Result!E6</f>
        <v>2725.7507665950402</v>
      </c>
      <c r="F230" s="561">
        <f>Result!F6</f>
        <v>2998.3258432545445</v>
      </c>
      <c r="G230" s="561">
        <f>Result!G6</f>
        <v>553.32740561879325</v>
      </c>
      <c r="H230" s="561"/>
      <c r="I230" s="554"/>
      <c r="J230" s="554"/>
      <c r="K230" s="554"/>
      <c r="L230" s="554"/>
      <c r="M230" s="554"/>
      <c r="N230" s="554"/>
    </row>
    <row r="231" spans="1:14">
      <c r="A231" s="554" t="s">
        <v>921</v>
      </c>
      <c r="B231" s="554"/>
      <c r="C231" s="554"/>
      <c r="D231" s="554"/>
      <c r="E231" s="561">
        <f>Result!E7</f>
        <v>0</v>
      </c>
      <c r="F231" s="561">
        <f>Result!F7</f>
        <v>0</v>
      </c>
      <c r="G231" s="561">
        <f>Result!G7</f>
        <v>0</v>
      </c>
      <c r="H231" s="561"/>
      <c r="I231" s="554"/>
      <c r="J231" s="554"/>
      <c r="K231" s="554"/>
      <c r="L231" s="554"/>
      <c r="M231" s="554"/>
      <c r="N231" s="554"/>
    </row>
    <row r="232" spans="1:14">
      <c r="A232" s="554" t="s">
        <v>28</v>
      </c>
      <c r="B232" s="554"/>
      <c r="C232" s="554"/>
      <c r="D232" s="554"/>
      <c r="E232" s="561">
        <f>Result!E8</f>
        <v>0</v>
      </c>
      <c r="F232" s="561">
        <f>Result!F8</f>
        <v>0</v>
      </c>
      <c r="G232" s="561">
        <f>Result!G8</f>
        <v>0</v>
      </c>
      <c r="H232" s="561"/>
      <c r="I232" s="554"/>
      <c r="J232" s="554"/>
      <c r="K232" s="554"/>
      <c r="L232" s="554"/>
      <c r="M232" s="554"/>
      <c r="N232" s="554"/>
    </row>
    <row r="233" spans="1:14">
      <c r="A233" s="554" t="s">
        <v>923</v>
      </c>
      <c r="B233" s="554"/>
      <c r="C233" s="554"/>
      <c r="D233" s="554"/>
      <c r="E233" s="561">
        <f>Result!E9</f>
        <v>97</v>
      </c>
      <c r="F233" s="561">
        <f>Result!F9</f>
        <v>169.75</v>
      </c>
      <c r="G233" s="561">
        <f>Result!G9</f>
        <v>21.728000000000002</v>
      </c>
      <c r="H233" s="561"/>
      <c r="I233" s="554"/>
      <c r="J233" s="554"/>
      <c r="K233" s="554"/>
      <c r="L233" s="554"/>
      <c r="M233" s="554"/>
      <c r="N233" s="554"/>
    </row>
    <row r="234" spans="1:14">
      <c r="A234" s="554" t="s">
        <v>924</v>
      </c>
      <c r="B234" s="554"/>
      <c r="C234" s="554"/>
      <c r="D234" s="554"/>
      <c r="E234" s="561">
        <f>Result!E10</f>
        <v>246.51445106940128</v>
      </c>
      <c r="F234" s="561">
        <f>Result!F10</f>
        <v>431.40028937145223</v>
      </c>
      <c r="G234" s="561">
        <f>Result!G10</f>
        <v>55.219237039545888</v>
      </c>
      <c r="H234" s="561"/>
      <c r="I234" s="554"/>
      <c r="J234" s="554"/>
      <c r="K234" s="554"/>
      <c r="L234" s="554"/>
      <c r="M234" s="554"/>
      <c r="N234" s="554"/>
    </row>
    <row r="235" spans="1:14">
      <c r="A235" s="554" t="s">
        <v>925</v>
      </c>
      <c r="B235" s="554"/>
      <c r="C235" s="554"/>
      <c r="D235" s="554"/>
      <c r="E235" s="561" t="s">
        <v>206</v>
      </c>
      <c r="F235" s="561" t="s">
        <v>206</v>
      </c>
      <c r="G235" s="561" t="s">
        <v>206</v>
      </c>
      <c r="H235" s="561"/>
      <c r="I235" s="554"/>
      <c r="J235" s="554"/>
      <c r="K235" s="554"/>
      <c r="L235" s="554"/>
      <c r="M235" s="554"/>
      <c r="N235" s="554"/>
    </row>
    <row r="236" spans="1:14">
      <c r="A236" s="115" t="s">
        <v>949</v>
      </c>
      <c r="B236" s="554"/>
      <c r="C236" s="554"/>
      <c r="D236" s="554"/>
      <c r="E236" s="561">
        <f>Result!E11</f>
        <v>0</v>
      </c>
      <c r="F236" s="561">
        <f>Result!F11</f>
        <v>0</v>
      </c>
      <c r="G236" s="561">
        <f>Result!G11</f>
        <v>0</v>
      </c>
      <c r="H236" s="561"/>
      <c r="I236" s="554"/>
      <c r="J236" s="554"/>
      <c r="K236" s="554"/>
      <c r="L236" s="554"/>
      <c r="M236" s="554"/>
      <c r="N236" s="554"/>
    </row>
    <row r="237" spans="1:14">
      <c r="A237" s="115" t="s">
        <v>950</v>
      </c>
      <c r="B237" s="554"/>
      <c r="C237" s="554"/>
      <c r="D237" s="554"/>
      <c r="E237" s="561">
        <f>Result!E12</f>
        <v>0</v>
      </c>
      <c r="F237" s="561">
        <f>Result!F12</f>
        <v>0</v>
      </c>
      <c r="G237" s="561">
        <f>Result!G12</f>
        <v>0</v>
      </c>
      <c r="H237" s="561"/>
      <c r="I237" s="554"/>
      <c r="J237" s="554"/>
      <c r="K237" s="554"/>
      <c r="L237" s="554"/>
      <c r="M237" s="554"/>
      <c r="N237" s="554"/>
    </row>
    <row r="238" spans="1:14">
      <c r="A238" s="115" t="s">
        <v>951</v>
      </c>
      <c r="B238" s="554"/>
      <c r="C238" s="554"/>
      <c r="D238" s="554"/>
      <c r="E238" s="561">
        <f>Result!E13</f>
        <v>-1477</v>
      </c>
      <c r="F238" s="561">
        <f>Result!F13</f>
        <v>-2584.75</v>
      </c>
      <c r="G238" s="561">
        <f>Result!G13</f>
        <v>-330.84800000000001</v>
      </c>
      <c r="H238" s="561"/>
      <c r="I238" s="554"/>
      <c r="J238" s="554"/>
      <c r="K238" s="554"/>
      <c r="L238" s="554"/>
      <c r="M238" s="554"/>
      <c r="N238" s="554"/>
    </row>
    <row r="239" spans="1:14">
      <c r="A239" s="554" t="s">
        <v>927</v>
      </c>
      <c r="B239" s="554" t="str">
        <f>Result!B14</f>
        <v xml:space="preserve"> </v>
      </c>
      <c r="C239" s="554"/>
      <c r="D239" s="554"/>
      <c r="E239" s="561">
        <f>Result!E14</f>
        <v>0</v>
      </c>
      <c r="F239" s="561">
        <f>Result!F14</f>
        <v>0</v>
      </c>
      <c r="G239" s="561">
        <f>Result!G14</f>
        <v>0</v>
      </c>
      <c r="H239" s="561"/>
      <c r="I239" s="554"/>
      <c r="J239" s="554"/>
      <c r="K239" s="554"/>
      <c r="L239" s="554"/>
      <c r="M239" s="554"/>
      <c r="N239" s="554"/>
    </row>
    <row r="240" spans="1:14">
      <c r="A240" s="554" t="s">
        <v>932</v>
      </c>
      <c r="B240" s="554" t="str">
        <f>Result!B15</f>
        <v>-</v>
      </c>
      <c r="C240" s="554"/>
      <c r="D240" s="554"/>
      <c r="E240" s="561">
        <f>Result!E15</f>
        <v>0</v>
      </c>
      <c r="F240" s="561">
        <f>Result!F15</f>
        <v>0</v>
      </c>
      <c r="G240" s="561">
        <f>Result!G15</f>
        <v>0</v>
      </c>
      <c r="H240" s="561"/>
      <c r="I240" s="554"/>
      <c r="J240" s="554"/>
      <c r="K240" s="554"/>
      <c r="L240" s="554"/>
      <c r="M240" s="554"/>
      <c r="N240" s="554"/>
    </row>
    <row r="241" spans="1:14">
      <c r="A241" s="554" t="s">
        <v>936</v>
      </c>
      <c r="B241" s="554" t="str">
        <f>Result!B16</f>
        <v>-</v>
      </c>
      <c r="C241" s="554"/>
      <c r="D241" s="554"/>
      <c r="E241" s="561">
        <f>Result!E16</f>
        <v>0</v>
      </c>
      <c r="F241" s="561">
        <f>Result!F16</f>
        <v>0</v>
      </c>
      <c r="G241" s="561">
        <f>Result!G16</f>
        <v>0</v>
      </c>
      <c r="H241" s="561"/>
      <c r="I241" s="554"/>
      <c r="J241" s="554"/>
      <c r="K241" s="554"/>
      <c r="L241" s="554"/>
      <c r="M241" s="554"/>
      <c r="N241" s="554"/>
    </row>
    <row r="242" spans="1:14">
      <c r="A242" s="554" t="s">
        <v>864</v>
      </c>
      <c r="B242" s="554"/>
      <c r="C242" s="554"/>
      <c r="D242" s="554"/>
      <c r="E242" s="561">
        <f>Result!E17</f>
        <v>4682.2475067210034</v>
      </c>
      <c r="F242" s="561">
        <f>Result!F17</f>
        <v>4413.7066505882149</v>
      </c>
      <c r="G242" s="561">
        <f>Result!G17</f>
        <v>926.69304733682134</v>
      </c>
      <c r="H242" s="561"/>
      <c r="I242" s="554"/>
      <c r="J242" s="554"/>
      <c r="K242" s="554"/>
      <c r="L242" s="554"/>
      <c r="M242" s="554"/>
      <c r="N242" s="554"/>
    </row>
    <row r="243" spans="1:14" ht="14.5">
      <c r="A243" s="554" t="s">
        <v>1108</v>
      </c>
      <c r="B243" s="554"/>
      <c r="C243" s="554"/>
      <c r="D243" s="554"/>
      <c r="E243" s="563">
        <f>Result!E18</f>
        <v>37.160694497785741</v>
      </c>
      <c r="F243" s="563">
        <f>Result!F18</f>
        <v>35.029417861811233</v>
      </c>
      <c r="G243" s="563">
        <f>Result!G18</f>
        <v>7.354706724895407</v>
      </c>
      <c r="H243" s="562"/>
      <c r="I243" s="554"/>
      <c r="J243" s="554"/>
      <c r="K243" s="554"/>
      <c r="L243" s="554"/>
      <c r="M243" s="554"/>
      <c r="N243" s="554"/>
    </row>
    <row r="244" spans="1:14">
      <c r="A244" s="554"/>
      <c r="B244" s="554"/>
      <c r="C244" s="554"/>
      <c r="D244" s="554"/>
      <c r="E244" s="554"/>
      <c r="F244" s="554"/>
      <c r="G244" s="554"/>
      <c r="H244" s="554"/>
      <c r="I244" s="554"/>
      <c r="J244" s="554"/>
      <c r="K244" s="554"/>
      <c r="L244" s="554"/>
      <c r="M244" s="554"/>
      <c r="N244" s="554"/>
    </row>
    <row r="245" spans="1:14" ht="14.5">
      <c r="A245" s="554" t="s">
        <v>1657</v>
      </c>
      <c r="B245" s="554"/>
      <c r="C245" s="554"/>
      <c r="D245" s="554"/>
      <c r="E245" s="554"/>
      <c r="F245" s="561">
        <f>Result!F20</f>
        <v>35.029417861811233</v>
      </c>
      <c r="G245" s="561" t="str">
        <f>Result!G20</f>
        <v>A2</v>
      </c>
      <c r="H245" s="554"/>
      <c r="I245" s="554"/>
      <c r="J245" s="554"/>
      <c r="K245" s="554"/>
      <c r="L245" s="554"/>
      <c r="M245" s="554"/>
      <c r="N245" s="554"/>
    </row>
    <row r="246" spans="1:14">
      <c r="A246" s="554"/>
      <c r="B246" s="554"/>
      <c r="C246" s="554"/>
      <c r="D246" s="554"/>
      <c r="E246" s="554"/>
      <c r="F246" s="554"/>
      <c r="G246" s="554"/>
      <c r="H246" s="554"/>
      <c r="I246" s="554"/>
      <c r="J246" s="554"/>
      <c r="K246" s="554"/>
      <c r="L246" s="554"/>
      <c r="M246" s="554"/>
      <c r="N246" s="554"/>
    </row>
    <row r="247" spans="1:14" ht="13">
      <c r="A247" s="560" t="s">
        <v>1658</v>
      </c>
      <c r="B247" s="554"/>
      <c r="C247" s="554"/>
      <c r="D247" s="554"/>
      <c r="E247" s="554"/>
      <c r="F247" s="554"/>
      <c r="G247" s="554"/>
      <c r="H247" s="560">
        <f>TGDL</f>
        <v>2019</v>
      </c>
      <c r="I247" s="554"/>
      <c r="J247" s="554"/>
      <c r="K247" s="554"/>
      <c r="L247" s="554"/>
      <c r="M247" s="554"/>
      <c r="N247" s="554"/>
    </row>
    <row r="248" spans="1:14">
      <c r="A248" s="554"/>
      <c r="B248" s="554"/>
      <c r="C248" s="554"/>
      <c r="D248" s="554" t="s">
        <v>1659</v>
      </c>
      <c r="E248" s="554"/>
      <c r="F248" s="554"/>
      <c r="G248" s="554"/>
      <c r="H248" s="554"/>
      <c r="I248" s="554"/>
      <c r="J248" s="554"/>
      <c r="K248" s="554"/>
      <c r="L248" s="554"/>
      <c r="M248" s="554"/>
      <c r="N248" s="554"/>
    </row>
    <row r="249" spans="1:14">
      <c r="A249" s="554" t="s">
        <v>1115</v>
      </c>
      <c r="B249" s="554"/>
      <c r="C249" s="558">
        <f>Result!E32</f>
        <v>0.24729042118955108</v>
      </c>
      <c r="D249" s="559">
        <f>Result!E33</f>
        <v>0.3</v>
      </c>
      <c r="E249" s="554" t="str">
        <f>Result!E34</f>
        <v>Complies</v>
      </c>
      <c r="F249" s="554"/>
      <c r="G249" s="554"/>
      <c r="H249" s="554"/>
      <c r="I249" s="554"/>
      <c r="J249" s="554"/>
      <c r="K249" s="554"/>
      <c r="L249" s="554"/>
      <c r="M249" s="554"/>
      <c r="N249" s="554"/>
    </row>
    <row r="250" spans="1:14">
      <c r="A250" s="554" t="s">
        <v>1116</v>
      </c>
      <c r="B250" s="554"/>
      <c r="C250" s="558">
        <f>Result!G32</f>
        <v>0.26108512249126931</v>
      </c>
      <c r="D250" s="555">
        <f>Result!G33</f>
        <v>0.35</v>
      </c>
      <c r="E250" s="554" t="str">
        <f>Result!G34</f>
        <v>Complies</v>
      </c>
      <c r="F250" s="554"/>
      <c r="G250" s="554"/>
      <c r="H250" s="554"/>
      <c r="I250" s="554"/>
      <c r="J250" s="554"/>
      <c r="K250" s="554"/>
      <c r="L250" s="554"/>
      <c r="M250" s="554"/>
      <c r="N250" s="554"/>
    </row>
    <row r="251" spans="1:14">
      <c r="A251" s="554" t="s">
        <v>185</v>
      </c>
      <c r="B251" s="554"/>
      <c r="C251" s="595">
        <f>Result!I32</f>
        <v>0.36933142963495441</v>
      </c>
      <c r="D251" s="559">
        <f>Result!I33</f>
        <v>0.2</v>
      </c>
      <c r="E251" s="554" t="str">
        <f>Result!I34</f>
        <v>Complies</v>
      </c>
      <c r="F251" s="554"/>
      <c r="G251" s="554"/>
      <c r="H251" s="554"/>
      <c r="I251" s="554"/>
      <c r="J251" s="554"/>
      <c r="K251" s="554"/>
      <c r="L251" s="554"/>
      <c r="M251" s="554"/>
      <c r="N251" s="554"/>
    </row>
    <row r="252" spans="1:14">
      <c r="A252" s="554"/>
      <c r="B252" s="554"/>
      <c r="C252" s="554"/>
      <c r="D252" s="554"/>
      <c r="E252" s="554"/>
      <c r="F252" s="554"/>
      <c r="G252" s="554"/>
      <c r="H252" s="554"/>
      <c r="I252" s="554"/>
      <c r="J252" s="554"/>
      <c r="K252" s="554"/>
      <c r="L252" s="554"/>
      <c r="M252" s="554"/>
      <c r="N252" s="554"/>
    </row>
    <row r="253" spans="1:14">
      <c r="A253" s="554"/>
      <c r="B253" s="554"/>
      <c r="C253" s="554"/>
      <c r="D253" s="554"/>
      <c r="E253" s="554"/>
      <c r="F253" s="554"/>
      <c r="G253" s="554"/>
      <c r="H253" s="554"/>
      <c r="I253" s="554"/>
      <c r="J253" s="554"/>
      <c r="K253" s="554"/>
      <c r="L253" s="554"/>
      <c r="M253" s="554"/>
      <c r="N253" s="554"/>
    </row>
    <row r="254" spans="1:14">
      <c r="A254" s="554"/>
      <c r="B254" s="554"/>
      <c r="C254" s="554"/>
      <c r="D254" s="554"/>
      <c r="E254" s="554"/>
      <c r="F254" s="554"/>
      <c r="G254" s="554"/>
      <c r="H254" s="554"/>
      <c r="I254" s="554"/>
      <c r="J254" s="554"/>
      <c r="K254" s="554"/>
      <c r="L254" s="554"/>
      <c r="M254" s="554"/>
      <c r="N254" s="554"/>
    </row>
    <row r="255" spans="1:14">
      <c r="A255" s="554"/>
      <c r="B255" s="554"/>
      <c r="C255" s="554"/>
      <c r="D255" s="554"/>
      <c r="E255" s="554"/>
      <c r="F255" s="554"/>
      <c r="G255" s="554"/>
      <c r="H255" s="554"/>
      <c r="I255" s="554"/>
      <c r="J255" s="554"/>
      <c r="K255" s="554"/>
      <c r="L255" s="554"/>
      <c r="M255" s="554"/>
      <c r="N255" s="554"/>
    </row>
    <row r="256" spans="1:14">
      <c r="A256" s="554"/>
      <c r="B256" s="554"/>
      <c r="C256" s="554"/>
      <c r="D256" s="554"/>
      <c r="E256" s="554"/>
      <c r="F256" s="554"/>
      <c r="G256" s="554"/>
      <c r="H256" s="554"/>
      <c r="I256" s="554"/>
      <c r="J256" s="554"/>
      <c r="K256" s="554"/>
      <c r="L256" s="554"/>
      <c r="M256" s="554"/>
      <c r="N256" s="554"/>
    </row>
    <row r="257" spans="1:14">
      <c r="A257" s="554"/>
      <c r="B257" s="554"/>
      <c r="C257" s="554"/>
      <c r="D257" s="554"/>
      <c r="E257" s="554"/>
      <c r="F257" s="554"/>
      <c r="G257" s="554"/>
      <c r="H257" s="554"/>
      <c r="I257" s="554"/>
      <c r="J257" s="554"/>
      <c r="K257" s="554"/>
      <c r="L257" s="554"/>
      <c r="M257" s="554"/>
      <c r="N257" s="554"/>
    </row>
    <row r="258" spans="1:14">
      <c r="A258" s="554"/>
      <c r="B258" s="554"/>
      <c r="C258" s="554"/>
      <c r="D258" s="554"/>
      <c r="E258" s="554"/>
      <c r="F258" s="554"/>
      <c r="G258" s="554"/>
      <c r="H258" s="554"/>
      <c r="I258" s="554"/>
      <c r="J258" s="554"/>
      <c r="K258" s="554"/>
      <c r="L258" s="554"/>
      <c r="M258" s="554"/>
      <c r="N258" s="554"/>
    </row>
    <row r="259" spans="1:14">
      <c r="A259" s="554"/>
      <c r="B259" s="554"/>
      <c r="C259" s="554"/>
      <c r="D259" s="554"/>
      <c r="E259" s="554"/>
      <c r="F259" s="554"/>
      <c r="G259" s="554"/>
      <c r="H259" s="554"/>
      <c r="I259" s="554"/>
      <c r="J259" s="554"/>
      <c r="K259" s="554"/>
      <c r="L259" s="554"/>
      <c r="M259" s="554"/>
      <c r="N259" s="554"/>
    </row>
    <row r="260" spans="1:14">
      <c r="A260" s="554"/>
      <c r="B260" s="554"/>
      <c r="C260" s="554"/>
      <c r="D260" s="554"/>
      <c r="E260" s="554"/>
      <c r="F260" s="554"/>
      <c r="G260" s="554"/>
      <c r="H260" s="554"/>
      <c r="I260" s="554"/>
      <c r="J260" s="554"/>
      <c r="K260" s="554"/>
      <c r="L260" s="554"/>
      <c r="M260" s="554"/>
      <c r="N260" s="554"/>
    </row>
    <row r="261" spans="1:14">
      <c r="A261" s="554"/>
      <c r="B261" s="554"/>
      <c r="C261" s="554"/>
      <c r="D261" s="554"/>
      <c r="E261" s="554"/>
      <c r="F261" s="554"/>
      <c r="G261" s="554"/>
      <c r="H261" s="554"/>
      <c r="I261" s="554"/>
      <c r="J261" s="554"/>
      <c r="K261" s="554"/>
      <c r="L261" s="554"/>
      <c r="M261" s="554"/>
      <c r="N261" s="554"/>
    </row>
    <row r="262" spans="1:14">
      <c r="A262" s="554"/>
      <c r="B262" s="554"/>
      <c r="C262" s="554"/>
      <c r="D262" s="554"/>
      <c r="E262" s="554"/>
      <c r="F262" s="554"/>
      <c r="G262" s="554"/>
      <c r="H262" s="554"/>
      <c r="I262" s="554"/>
      <c r="J262" s="554"/>
      <c r="K262" s="554"/>
      <c r="L262" s="554"/>
      <c r="M262" s="554"/>
      <c r="N262" s="554"/>
    </row>
    <row r="263" spans="1:14">
      <c r="A263" s="554"/>
      <c r="B263" s="554"/>
      <c r="C263" s="554"/>
      <c r="D263" s="554"/>
      <c r="E263" s="554"/>
      <c r="F263" s="554"/>
      <c r="G263" s="554"/>
      <c r="H263" s="554"/>
      <c r="I263" s="554"/>
      <c r="J263" s="554"/>
      <c r="K263" s="554"/>
      <c r="L263" s="554"/>
      <c r="M263" s="554"/>
      <c r="N263" s="554"/>
    </row>
    <row r="264" spans="1:14">
      <c r="A264" s="554"/>
      <c r="B264" s="554"/>
      <c r="C264" s="554"/>
      <c r="D264" s="554"/>
      <c r="E264" s="554"/>
      <c r="F264" s="554"/>
      <c r="G264" s="554"/>
      <c r="H264" s="554"/>
      <c r="I264" s="554"/>
      <c r="J264" s="554"/>
      <c r="K264" s="554"/>
      <c r="L264" s="554"/>
      <c r="M264" s="554"/>
      <c r="N264" s="554"/>
    </row>
    <row r="265" spans="1:14">
      <c r="A265" s="554"/>
      <c r="B265" s="554"/>
      <c r="C265" s="554"/>
      <c r="D265" s="554"/>
      <c r="E265" s="554"/>
      <c r="F265" s="554"/>
      <c r="G265" s="554"/>
      <c r="H265" s="554"/>
      <c r="I265" s="554"/>
      <c r="J265" s="554"/>
      <c r="K265" s="554"/>
      <c r="L265" s="554"/>
      <c r="M265" s="554"/>
      <c r="N265" s="554"/>
    </row>
    <row r="266" spans="1:14">
      <c r="A266" s="554"/>
      <c r="B266" s="554"/>
      <c r="C266" s="554"/>
      <c r="D266" s="554"/>
      <c r="E266" s="554"/>
      <c r="F266" s="554"/>
      <c r="G266" s="554"/>
      <c r="H266" s="554"/>
      <c r="I266" s="554"/>
      <c r="J266" s="554"/>
      <c r="K266" s="554"/>
      <c r="L266" s="554"/>
      <c r="M266" s="554"/>
      <c r="N266" s="554"/>
    </row>
    <row r="267" spans="1:14">
      <c r="A267" s="554"/>
      <c r="B267" s="554"/>
      <c r="C267" s="554"/>
      <c r="D267" s="554"/>
      <c r="E267" s="554"/>
      <c r="F267" s="554"/>
      <c r="G267" s="554"/>
      <c r="H267" s="554"/>
      <c r="I267" s="554"/>
      <c r="J267" s="554"/>
      <c r="K267" s="554"/>
      <c r="L267" s="554"/>
      <c r="M267" s="554"/>
      <c r="N267" s="554"/>
    </row>
    <row r="268" spans="1:14">
      <c r="A268" s="554"/>
      <c r="B268" s="554"/>
      <c r="C268" s="554"/>
      <c r="D268" s="554"/>
      <c r="E268" s="554"/>
      <c r="F268" s="554"/>
      <c r="G268" s="554"/>
      <c r="H268" s="554"/>
      <c r="I268" s="554"/>
      <c r="J268" s="554"/>
      <c r="K268" s="554"/>
      <c r="L268" s="554"/>
      <c r="M268" s="554"/>
      <c r="N268" s="554"/>
    </row>
    <row r="269" spans="1:14">
      <c r="A269" s="554"/>
      <c r="B269" s="554"/>
      <c r="C269" s="554"/>
      <c r="D269" s="554"/>
      <c r="E269" s="554"/>
      <c r="F269" s="554"/>
      <c r="G269" s="554"/>
      <c r="H269" s="554"/>
      <c r="I269" s="554"/>
      <c r="J269" s="554"/>
      <c r="K269" s="554"/>
      <c r="L269" s="554"/>
      <c r="M269" s="554"/>
      <c r="N269" s="554"/>
    </row>
    <row r="270" spans="1:14">
      <c r="A270" s="554"/>
      <c r="B270" s="554"/>
      <c r="C270" s="554"/>
      <c r="D270" s="554"/>
      <c r="E270" s="554"/>
      <c r="F270" s="554"/>
      <c r="G270" s="554"/>
      <c r="H270" s="554"/>
      <c r="I270" s="554"/>
      <c r="J270" s="554"/>
      <c r="K270" s="554"/>
      <c r="L270" s="554"/>
      <c r="M270" s="554"/>
      <c r="N270" s="554"/>
    </row>
    <row r="271" spans="1:14">
      <c r="A271" s="554"/>
      <c r="B271" s="554"/>
      <c r="C271" s="554"/>
      <c r="D271" s="554"/>
      <c r="E271" s="554"/>
      <c r="F271" s="554"/>
      <c r="G271" s="554"/>
      <c r="H271" s="554"/>
      <c r="I271" s="554"/>
      <c r="J271" s="554"/>
      <c r="K271" s="554"/>
      <c r="L271" s="554"/>
      <c r="M271" s="554"/>
      <c r="N271" s="554"/>
    </row>
    <row r="272" spans="1:14">
      <c r="A272" s="554"/>
      <c r="B272" s="554"/>
      <c r="C272" s="554"/>
      <c r="D272" s="554"/>
      <c r="E272" s="554"/>
      <c r="F272" s="554"/>
      <c r="G272" s="554"/>
      <c r="H272" s="554"/>
      <c r="I272" s="554"/>
      <c r="J272" s="554"/>
      <c r="K272" s="554"/>
      <c r="L272" s="554"/>
      <c r="M272" s="554"/>
      <c r="N272" s="554"/>
    </row>
    <row r="273" spans="1:14">
      <c r="A273" s="554"/>
      <c r="B273" s="554"/>
      <c r="C273" s="554"/>
      <c r="D273" s="554"/>
      <c r="E273" s="554"/>
      <c r="F273" s="554"/>
      <c r="G273" s="554"/>
      <c r="H273" s="554"/>
      <c r="I273" s="554"/>
      <c r="J273" s="554"/>
      <c r="K273" s="554"/>
      <c r="L273" s="554"/>
      <c r="M273" s="554"/>
      <c r="N273" s="554"/>
    </row>
    <row r="274" spans="1:14">
      <c r="A274" s="554"/>
      <c r="B274" s="554"/>
      <c r="C274" s="554"/>
      <c r="D274" s="554"/>
      <c r="E274" s="554"/>
      <c r="F274" s="554"/>
      <c r="G274" s="554"/>
      <c r="H274" s="554"/>
      <c r="I274" s="554"/>
      <c r="J274" s="554"/>
      <c r="K274" s="554"/>
      <c r="L274" s="554"/>
      <c r="M274" s="554"/>
      <c r="N274" s="554"/>
    </row>
    <row r="275" spans="1:14">
      <c r="A275" s="554"/>
      <c r="B275" s="554"/>
      <c r="C275" s="554"/>
      <c r="D275" s="554"/>
      <c r="E275" s="554"/>
      <c r="F275" s="554"/>
      <c r="G275" s="554"/>
      <c r="H275" s="554"/>
      <c r="I275" s="554"/>
      <c r="J275" s="554"/>
      <c r="K275" s="554"/>
      <c r="L275" s="554"/>
      <c r="M275" s="554"/>
      <c r="N275" s="554"/>
    </row>
    <row r="276" spans="1:14">
      <c r="A276" s="554"/>
      <c r="B276" s="554"/>
      <c r="C276" s="554"/>
      <c r="D276" s="554"/>
      <c r="E276" s="554"/>
      <c r="F276" s="554"/>
      <c r="G276" s="554"/>
      <c r="H276" s="554"/>
      <c r="I276" s="554"/>
      <c r="J276" s="554"/>
      <c r="K276" s="554"/>
      <c r="L276" s="554"/>
      <c r="M276" s="554"/>
      <c r="N276" s="554"/>
    </row>
    <row r="277" spans="1:14">
      <c r="A277" s="554"/>
      <c r="B277" s="554"/>
      <c r="C277" s="554"/>
      <c r="D277" s="554"/>
      <c r="E277" s="554"/>
      <c r="F277" s="554"/>
      <c r="G277" s="554"/>
      <c r="H277" s="554"/>
      <c r="I277" s="554"/>
      <c r="J277" s="554"/>
      <c r="K277" s="554"/>
      <c r="L277" s="554"/>
      <c r="M277" s="554"/>
      <c r="N277" s="554"/>
    </row>
    <row r="278" spans="1:14">
      <c r="A278" s="554"/>
      <c r="B278" s="554"/>
      <c r="C278" s="554"/>
      <c r="D278" s="554"/>
      <c r="E278" s="554"/>
      <c r="F278" s="554"/>
      <c r="G278" s="554"/>
      <c r="H278" s="554"/>
      <c r="I278" s="554"/>
      <c r="J278" s="554"/>
      <c r="K278" s="554"/>
      <c r="L278" s="554"/>
      <c r="M278" s="554"/>
      <c r="N278" s="554"/>
    </row>
    <row r="279" spans="1:14">
      <c r="A279" s="554"/>
      <c r="B279" s="554"/>
      <c r="C279" s="554"/>
      <c r="D279" s="554"/>
      <c r="E279" s="554"/>
      <c r="F279" s="554"/>
      <c r="G279" s="554"/>
      <c r="H279" s="554"/>
      <c r="I279" s="554"/>
      <c r="J279" s="554"/>
      <c r="K279" s="554"/>
      <c r="L279" s="554"/>
      <c r="M279" s="554"/>
      <c r="N279" s="554"/>
    </row>
    <row r="280" spans="1:14">
      <c r="A280" s="554"/>
      <c r="B280" s="554"/>
      <c r="C280" s="554"/>
      <c r="D280" s="554"/>
      <c r="E280" s="554"/>
      <c r="F280" s="554"/>
      <c r="G280" s="554"/>
      <c r="H280" s="554"/>
      <c r="I280" s="554"/>
      <c r="J280" s="554"/>
      <c r="K280" s="554"/>
      <c r="L280" s="554"/>
      <c r="M280" s="554"/>
      <c r="N280" s="554"/>
    </row>
    <row r="281" spans="1:14">
      <c r="A281" s="554"/>
      <c r="B281" s="554"/>
      <c r="C281" s="554"/>
      <c r="D281" s="554"/>
      <c r="E281" s="554"/>
      <c r="F281" s="554"/>
      <c r="G281" s="554"/>
      <c r="H281" s="554"/>
      <c r="I281" s="554"/>
      <c r="J281" s="554"/>
      <c r="K281" s="554"/>
      <c r="L281" s="554"/>
      <c r="M281" s="554"/>
      <c r="N281" s="554"/>
    </row>
    <row r="282" spans="1:14">
      <c r="A282" s="554"/>
      <c r="B282" s="554"/>
      <c r="C282" s="554"/>
      <c r="D282" s="554"/>
      <c r="E282" s="554"/>
      <c r="F282" s="554"/>
      <c r="G282" s="554"/>
      <c r="H282" s="554"/>
      <c r="I282" s="554"/>
      <c r="J282" s="554"/>
      <c r="K282" s="554"/>
      <c r="L282" s="554"/>
      <c r="M282" s="554"/>
      <c r="N282" s="554"/>
    </row>
    <row r="283" spans="1:14">
      <c r="A283" s="554"/>
      <c r="B283" s="554"/>
      <c r="C283" s="554"/>
      <c r="D283" s="554"/>
      <c r="E283" s="554"/>
      <c r="F283" s="554"/>
      <c r="G283" s="554"/>
      <c r="H283" s="554"/>
      <c r="I283" s="554"/>
      <c r="J283" s="554"/>
      <c r="K283" s="554"/>
      <c r="L283" s="554"/>
      <c r="M283" s="554"/>
      <c r="N283" s="554"/>
    </row>
    <row r="284" spans="1:14">
      <c r="A284" s="554"/>
      <c r="B284" s="554"/>
      <c r="C284" s="554"/>
      <c r="D284" s="554"/>
      <c r="E284" s="554"/>
      <c r="F284" s="554"/>
      <c r="G284" s="554"/>
      <c r="H284" s="554"/>
      <c r="I284" s="554"/>
      <c r="J284" s="554"/>
      <c r="K284" s="554"/>
      <c r="L284" s="554"/>
      <c r="M284" s="554"/>
      <c r="N284" s="554"/>
    </row>
    <row r="285" spans="1:14">
      <c r="A285" s="554"/>
      <c r="B285" s="554"/>
      <c r="C285" s="554"/>
      <c r="D285" s="554"/>
      <c r="E285" s="554"/>
      <c r="F285" s="554"/>
      <c r="G285" s="554"/>
      <c r="H285" s="554"/>
      <c r="I285" s="554"/>
      <c r="J285" s="554"/>
      <c r="K285" s="554"/>
      <c r="L285" s="554"/>
      <c r="M285" s="554"/>
      <c r="N285" s="554"/>
    </row>
    <row r="286" spans="1:14">
      <c r="A286" s="554"/>
      <c r="B286" s="554"/>
      <c r="C286" s="554"/>
      <c r="D286" s="554"/>
      <c r="E286" s="554"/>
      <c r="F286" s="554"/>
      <c r="G286" s="554"/>
      <c r="H286" s="554"/>
      <c r="I286" s="554"/>
      <c r="J286" s="554"/>
      <c r="K286" s="554"/>
      <c r="L286" s="554"/>
      <c r="M286" s="554"/>
      <c r="N286" s="554"/>
    </row>
    <row r="287" spans="1:14">
      <c r="A287" s="554"/>
      <c r="B287" s="554"/>
      <c r="C287" s="554"/>
      <c r="D287" s="554"/>
      <c r="E287" s="554"/>
      <c r="F287" s="554"/>
      <c r="G287" s="554"/>
      <c r="H287" s="554"/>
      <c r="I287" s="554"/>
      <c r="J287" s="554"/>
      <c r="K287" s="554"/>
      <c r="L287" s="554"/>
      <c r="M287" s="554"/>
      <c r="N287" s="554"/>
    </row>
    <row r="288" spans="1:14">
      <c r="A288" s="554"/>
      <c r="B288" s="554"/>
      <c r="C288" s="554"/>
      <c r="D288" s="554"/>
      <c r="E288" s="554"/>
      <c r="F288" s="554"/>
      <c r="G288" s="554"/>
      <c r="H288" s="554"/>
      <c r="I288" s="554"/>
      <c r="J288" s="554"/>
      <c r="K288" s="554"/>
      <c r="L288" s="554"/>
      <c r="M288" s="554"/>
      <c r="N288" s="554"/>
    </row>
    <row r="289" spans="1:14">
      <c r="A289" s="554"/>
      <c r="B289" s="554"/>
      <c r="C289" s="554"/>
      <c r="D289" s="554"/>
      <c r="E289" s="554"/>
      <c r="F289" s="554"/>
      <c r="G289" s="554"/>
      <c r="H289" s="554"/>
      <c r="I289" s="554"/>
      <c r="J289" s="554"/>
      <c r="K289" s="554"/>
      <c r="L289" s="554"/>
      <c r="M289" s="554"/>
      <c r="N289" s="554"/>
    </row>
    <row r="290" spans="1:14">
      <c r="A290" s="554"/>
      <c r="B290" s="554"/>
      <c r="C290" s="554"/>
      <c r="D290" s="554"/>
      <c r="E290" s="554"/>
      <c r="F290" s="554"/>
      <c r="G290" s="554"/>
      <c r="H290" s="554"/>
      <c r="I290" s="554"/>
      <c r="J290" s="554"/>
      <c r="K290" s="554"/>
      <c r="L290" s="554"/>
      <c r="M290" s="554"/>
      <c r="N290" s="554"/>
    </row>
    <row r="291" spans="1:14">
      <c r="A291" s="554"/>
      <c r="B291" s="554"/>
      <c r="C291" s="554"/>
      <c r="D291" s="554"/>
      <c r="E291" s="554"/>
      <c r="F291" s="554"/>
      <c r="G291" s="554"/>
      <c r="H291" s="554"/>
      <c r="I291" s="554"/>
      <c r="J291" s="554"/>
      <c r="K291" s="554"/>
      <c r="L291" s="554"/>
      <c r="M291" s="554"/>
      <c r="N291" s="554"/>
    </row>
    <row r="292" spans="1:14">
      <c r="A292" s="554"/>
      <c r="B292" s="554"/>
      <c r="C292" s="554"/>
      <c r="D292" s="554"/>
      <c r="E292" s="554"/>
      <c r="F292" s="554"/>
      <c r="G292" s="554"/>
      <c r="H292" s="554"/>
      <c r="I292" s="554"/>
      <c r="J292" s="554"/>
      <c r="K292" s="554"/>
      <c r="L292" s="554"/>
      <c r="M292" s="554"/>
      <c r="N292" s="554"/>
    </row>
    <row r="293" spans="1:14">
      <c r="A293" s="554"/>
      <c r="B293" s="554"/>
      <c r="C293" s="554"/>
      <c r="D293" s="554"/>
      <c r="E293" s="554"/>
      <c r="F293" s="554"/>
      <c r="G293" s="554"/>
      <c r="H293" s="554"/>
      <c r="I293" s="554"/>
      <c r="J293" s="554"/>
      <c r="K293" s="554"/>
      <c r="L293" s="554"/>
      <c r="M293" s="554"/>
      <c r="N293" s="554"/>
    </row>
    <row r="294" spans="1:14">
      <c r="A294" s="554"/>
      <c r="B294" s="554"/>
      <c r="C294" s="554"/>
      <c r="D294" s="554"/>
      <c r="E294" s="554"/>
      <c r="F294" s="554"/>
      <c r="G294" s="554"/>
      <c r="H294" s="554"/>
      <c r="I294" s="554"/>
      <c r="J294" s="554"/>
      <c r="K294" s="554"/>
      <c r="L294" s="554"/>
      <c r="M294" s="554"/>
      <c r="N294" s="554"/>
    </row>
    <row r="295" spans="1:14">
      <c r="A295" s="554"/>
      <c r="B295" s="554"/>
      <c r="C295" s="554"/>
      <c r="D295" s="554"/>
      <c r="E295" s="554"/>
      <c r="F295" s="554"/>
      <c r="G295" s="554"/>
      <c r="H295" s="554"/>
      <c r="I295" s="554"/>
      <c r="J295" s="554"/>
      <c r="K295" s="554"/>
      <c r="L295" s="554"/>
      <c r="M295" s="554"/>
      <c r="N295" s="554"/>
    </row>
    <row r="296" spans="1:14">
      <c r="A296" s="554"/>
      <c r="B296" s="554"/>
      <c r="C296" s="554"/>
      <c r="D296" s="554"/>
      <c r="E296" s="554"/>
      <c r="F296" s="554"/>
      <c r="G296" s="554"/>
      <c r="H296" s="554"/>
      <c r="I296" s="554"/>
      <c r="J296" s="554"/>
      <c r="K296" s="554"/>
      <c r="L296" s="554"/>
      <c r="M296" s="554"/>
      <c r="N296" s="554"/>
    </row>
    <row r="297" spans="1:14">
      <c r="A297" s="554"/>
      <c r="B297" s="554"/>
      <c r="C297" s="554"/>
      <c r="D297" s="554"/>
      <c r="E297" s="554"/>
      <c r="F297" s="554"/>
      <c r="G297" s="554"/>
      <c r="H297" s="554"/>
      <c r="I297" s="554"/>
      <c r="J297" s="554"/>
      <c r="K297" s="554"/>
      <c r="L297" s="554"/>
      <c r="M297" s="554"/>
      <c r="N297" s="554"/>
    </row>
    <row r="298" spans="1:14">
      <c r="A298" s="554"/>
      <c r="B298" s="554"/>
      <c r="C298" s="554"/>
      <c r="D298" s="554"/>
      <c r="E298" s="554"/>
      <c r="F298" s="554"/>
      <c r="G298" s="554"/>
      <c r="H298" s="554"/>
      <c r="I298" s="554"/>
      <c r="J298" s="554"/>
      <c r="K298" s="554"/>
      <c r="L298" s="554"/>
      <c r="M298" s="554"/>
      <c r="N298" s="554"/>
    </row>
    <row r="299" spans="1:14">
      <c r="A299" s="554"/>
      <c r="B299" s="554"/>
      <c r="C299" s="554"/>
      <c r="D299" s="554"/>
      <c r="E299" s="554"/>
      <c r="F299" s="554"/>
      <c r="G299" s="554"/>
      <c r="H299" s="554"/>
      <c r="I299" s="554"/>
      <c r="J299" s="554"/>
      <c r="K299" s="554"/>
      <c r="L299" s="554"/>
      <c r="M299" s="554"/>
      <c r="N299" s="554"/>
    </row>
    <row r="300" spans="1:14">
      <c r="A300" s="554"/>
      <c r="B300" s="554"/>
      <c r="C300" s="554"/>
      <c r="D300" s="554"/>
      <c r="E300" s="554"/>
      <c r="F300" s="554"/>
      <c r="G300" s="554"/>
      <c r="H300" s="554"/>
      <c r="I300" s="554"/>
      <c r="J300" s="554"/>
      <c r="K300" s="554"/>
      <c r="L300" s="554"/>
      <c r="M300" s="554"/>
      <c r="N300" s="554"/>
    </row>
    <row r="301" spans="1:14">
      <c r="A301" s="554"/>
      <c r="B301" s="554"/>
      <c r="C301" s="554"/>
      <c r="D301" s="554"/>
      <c r="E301" s="554"/>
      <c r="F301" s="554"/>
      <c r="G301" s="554"/>
      <c r="H301" s="554"/>
      <c r="I301" s="554"/>
      <c r="J301" s="554"/>
      <c r="K301" s="554"/>
      <c r="L301" s="554"/>
      <c r="M301" s="554"/>
      <c r="N301" s="554"/>
    </row>
    <row r="302" spans="1:14">
      <c r="A302" s="554"/>
      <c r="B302" s="554"/>
      <c r="C302" s="554"/>
      <c r="D302" s="554"/>
      <c r="E302" s="554"/>
      <c r="F302" s="554"/>
      <c r="G302" s="554"/>
      <c r="H302" s="554"/>
      <c r="I302" s="554"/>
      <c r="J302" s="554"/>
      <c r="K302" s="554"/>
      <c r="L302" s="554"/>
      <c r="M302" s="554"/>
      <c r="N302" s="554"/>
    </row>
    <row r="303" spans="1:14">
      <c r="A303" s="554"/>
      <c r="B303" s="554"/>
      <c r="C303" s="554"/>
      <c r="D303" s="554"/>
      <c r="E303" s="554"/>
      <c r="F303" s="554"/>
      <c r="G303" s="554"/>
      <c r="H303" s="554"/>
      <c r="I303" s="554"/>
      <c r="J303" s="554"/>
      <c r="K303" s="554"/>
      <c r="L303" s="554"/>
      <c r="M303" s="554"/>
      <c r="N303" s="554"/>
    </row>
    <row r="304" spans="1:14">
      <c r="A304" s="554"/>
      <c r="B304" s="554"/>
      <c r="C304" s="554"/>
      <c r="D304" s="554"/>
      <c r="E304" s="554"/>
      <c r="F304" s="554"/>
      <c r="G304" s="554"/>
      <c r="H304" s="554"/>
      <c r="I304" s="554"/>
      <c r="J304" s="554"/>
      <c r="K304" s="554"/>
      <c r="L304" s="554"/>
      <c r="M304" s="554"/>
      <c r="N304" s="554"/>
    </row>
    <row r="305" spans="1:14">
      <c r="A305" s="554"/>
      <c r="B305" s="554"/>
      <c r="C305" s="554"/>
      <c r="D305" s="554"/>
      <c r="E305" s="554"/>
      <c r="F305" s="554"/>
      <c r="G305" s="554"/>
      <c r="H305" s="554"/>
      <c r="I305" s="554"/>
      <c r="J305" s="554"/>
      <c r="K305" s="554"/>
      <c r="L305" s="554"/>
      <c r="M305" s="554"/>
      <c r="N305" s="554"/>
    </row>
    <row r="306" spans="1:14">
      <c r="A306" s="554"/>
      <c r="B306" s="554"/>
      <c r="C306" s="554"/>
      <c r="D306" s="554"/>
      <c r="E306" s="554"/>
      <c r="F306" s="554"/>
      <c r="G306" s="554"/>
      <c r="H306" s="554"/>
      <c r="I306" s="554"/>
      <c r="J306" s="554"/>
      <c r="K306" s="554"/>
      <c r="L306" s="554"/>
      <c r="M306" s="554"/>
      <c r="N306" s="554"/>
    </row>
    <row r="307" spans="1:14">
      <c r="A307" s="554"/>
      <c r="B307" s="554"/>
      <c r="C307" s="554"/>
      <c r="D307" s="554"/>
      <c r="E307" s="554"/>
      <c r="F307" s="554"/>
      <c r="G307" s="554"/>
      <c r="H307" s="554"/>
      <c r="I307" s="554"/>
      <c r="J307" s="554"/>
      <c r="K307" s="554"/>
      <c r="L307" s="554"/>
      <c r="M307" s="554"/>
      <c r="N307" s="554"/>
    </row>
    <row r="308" spans="1:14">
      <c r="A308" s="554"/>
      <c r="B308" s="554"/>
      <c r="C308" s="554"/>
      <c r="D308" s="554"/>
      <c r="E308" s="554"/>
      <c r="F308" s="554"/>
      <c r="G308" s="554"/>
      <c r="H308" s="554"/>
      <c r="I308" s="554"/>
      <c r="J308" s="554"/>
      <c r="K308" s="554"/>
      <c r="L308" s="554"/>
      <c r="M308" s="554"/>
      <c r="N308" s="554"/>
    </row>
    <row r="309" spans="1:14">
      <c r="A309" s="554"/>
      <c r="B309" s="554"/>
      <c r="C309" s="554"/>
      <c r="D309" s="554"/>
      <c r="E309" s="554"/>
      <c r="F309" s="554"/>
      <c r="G309" s="554"/>
      <c r="H309" s="554"/>
      <c r="I309" s="554"/>
      <c r="J309" s="554"/>
      <c r="K309" s="554"/>
      <c r="L309" s="554"/>
      <c r="M309" s="554"/>
      <c r="N309" s="554"/>
    </row>
    <row r="310" spans="1:14">
      <c r="A310" s="554"/>
      <c r="B310" s="554"/>
      <c r="C310" s="554"/>
      <c r="D310" s="554"/>
      <c r="E310" s="554"/>
      <c r="F310" s="554"/>
      <c r="G310" s="554"/>
      <c r="H310" s="554"/>
      <c r="I310" s="554"/>
      <c r="J310" s="554"/>
      <c r="K310" s="554"/>
      <c r="L310" s="554"/>
      <c r="M310" s="554"/>
      <c r="N310" s="554"/>
    </row>
    <row r="311" spans="1:14">
      <c r="A311" s="554"/>
      <c r="B311" s="554"/>
      <c r="C311" s="554"/>
      <c r="D311" s="554"/>
      <c r="E311" s="554"/>
      <c r="F311" s="554"/>
      <c r="G311" s="554"/>
      <c r="H311" s="554"/>
      <c r="I311" s="554"/>
      <c r="J311" s="554"/>
      <c r="K311" s="554"/>
      <c r="L311" s="554"/>
      <c r="M311" s="554"/>
      <c r="N311" s="554"/>
    </row>
    <row r="312" spans="1:14">
      <c r="A312" s="554"/>
      <c r="B312" s="554"/>
      <c r="C312" s="554"/>
      <c r="D312" s="554"/>
      <c r="E312" s="554"/>
      <c r="F312" s="554"/>
      <c r="G312" s="554"/>
      <c r="H312" s="554"/>
      <c r="I312" s="554"/>
      <c r="J312" s="554"/>
      <c r="K312" s="554"/>
      <c r="L312" s="554"/>
      <c r="M312" s="554"/>
      <c r="N312" s="554"/>
    </row>
    <row r="313" spans="1:14">
      <c r="A313" s="554"/>
      <c r="B313" s="554"/>
      <c r="C313" s="554"/>
      <c r="D313" s="554"/>
      <c r="E313" s="554"/>
      <c r="F313" s="554"/>
      <c r="G313" s="554"/>
      <c r="H313" s="554"/>
      <c r="I313" s="554"/>
      <c r="J313" s="554"/>
      <c r="K313" s="554"/>
      <c r="L313" s="554"/>
      <c r="M313" s="554"/>
      <c r="N313" s="554"/>
    </row>
    <row r="314" spans="1:14">
      <c r="A314" s="554"/>
      <c r="B314" s="554"/>
      <c r="C314" s="554"/>
      <c r="D314" s="554"/>
      <c r="E314" s="554"/>
      <c r="F314" s="554"/>
      <c r="G314" s="554"/>
      <c r="H314" s="554"/>
      <c r="I314" s="554"/>
      <c r="J314" s="554"/>
      <c r="K314" s="554"/>
      <c r="L314" s="554"/>
      <c r="M314" s="554"/>
      <c r="N314" s="554"/>
    </row>
    <row r="315" spans="1:14">
      <c r="A315" s="554"/>
      <c r="B315" s="554"/>
      <c r="C315" s="554"/>
      <c r="D315" s="554"/>
      <c r="E315" s="554"/>
      <c r="F315" s="554"/>
      <c r="G315" s="554"/>
      <c r="H315" s="554"/>
      <c r="I315" s="554"/>
      <c r="J315" s="554"/>
      <c r="K315" s="554"/>
      <c r="L315" s="554"/>
      <c r="M315" s="554"/>
      <c r="N315" s="554"/>
    </row>
    <row r="316" spans="1:14">
      <c r="A316" s="554"/>
      <c r="B316" s="554"/>
      <c r="C316" s="554"/>
      <c r="D316" s="554"/>
      <c r="E316" s="554"/>
      <c r="F316" s="554"/>
      <c r="G316" s="554"/>
      <c r="H316" s="554"/>
      <c r="I316" s="554"/>
      <c r="J316" s="554"/>
      <c r="K316" s="554"/>
      <c r="L316" s="554"/>
      <c r="M316" s="554"/>
      <c r="N316" s="554"/>
    </row>
    <row r="317" spans="1:14">
      <c r="A317" s="554"/>
      <c r="B317" s="554"/>
      <c r="C317" s="554"/>
      <c r="D317" s="554"/>
      <c r="E317" s="554"/>
      <c r="F317" s="554"/>
      <c r="G317" s="554"/>
      <c r="H317" s="554"/>
      <c r="I317" s="554"/>
      <c r="J317" s="554"/>
      <c r="K317" s="554"/>
      <c r="L317" s="554"/>
      <c r="M317" s="554"/>
      <c r="N317" s="554"/>
    </row>
    <row r="318" spans="1:14">
      <c r="A318" s="554"/>
      <c r="B318" s="554"/>
      <c r="C318" s="554"/>
      <c r="D318" s="554"/>
      <c r="E318" s="554"/>
      <c r="F318" s="554"/>
      <c r="G318" s="554"/>
      <c r="H318" s="554"/>
      <c r="I318" s="554"/>
      <c r="J318" s="554"/>
      <c r="K318" s="554"/>
      <c r="L318" s="554"/>
      <c r="M318" s="554"/>
      <c r="N318" s="554"/>
    </row>
    <row r="319" spans="1:14">
      <c r="A319" s="554"/>
      <c r="B319" s="554"/>
      <c r="C319" s="554"/>
      <c r="D319" s="554"/>
      <c r="E319" s="554"/>
      <c r="F319" s="554"/>
      <c r="G319" s="554"/>
      <c r="H319" s="554"/>
      <c r="I319" s="554"/>
      <c r="J319" s="554"/>
      <c r="K319" s="554"/>
      <c r="L319" s="554"/>
      <c r="M319" s="554"/>
      <c r="N319" s="554"/>
    </row>
    <row r="320" spans="1:14">
      <c r="A320" s="554"/>
      <c r="B320" s="554"/>
      <c r="C320" s="554"/>
      <c r="D320" s="554"/>
      <c r="E320" s="554"/>
      <c r="F320" s="554"/>
      <c r="G320" s="554"/>
      <c r="H320" s="554"/>
      <c r="I320" s="554"/>
      <c r="J320" s="554"/>
      <c r="K320" s="554"/>
      <c r="L320" s="554"/>
      <c r="M320" s="554"/>
      <c r="N320" s="554"/>
    </row>
    <row r="321" spans="1:14">
      <c r="A321" s="554"/>
      <c r="B321" s="554"/>
      <c r="C321" s="554"/>
      <c r="D321" s="554"/>
      <c r="E321" s="554"/>
      <c r="F321" s="554"/>
      <c r="G321" s="554"/>
      <c r="H321" s="554"/>
      <c r="I321" s="554"/>
      <c r="J321" s="554"/>
      <c r="K321" s="554"/>
      <c r="L321" s="554"/>
      <c r="M321" s="554"/>
      <c r="N321" s="554"/>
    </row>
    <row r="322" spans="1:14">
      <c r="A322" s="554"/>
      <c r="B322" s="554"/>
      <c r="C322" s="554"/>
      <c r="D322" s="554"/>
      <c r="E322" s="554"/>
      <c r="F322" s="554"/>
      <c r="G322" s="554"/>
      <c r="H322" s="554"/>
      <c r="I322" s="554"/>
      <c r="J322" s="554"/>
      <c r="K322" s="554"/>
      <c r="L322" s="554"/>
      <c r="M322" s="554"/>
      <c r="N322" s="554"/>
    </row>
    <row r="323" spans="1:14">
      <c r="A323" s="554"/>
      <c r="B323" s="554"/>
      <c r="C323" s="554"/>
      <c r="D323" s="554"/>
      <c r="E323" s="554"/>
      <c r="F323" s="554"/>
      <c r="G323" s="554"/>
      <c r="H323" s="554"/>
      <c r="I323" s="554"/>
      <c r="J323" s="554"/>
      <c r="K323" s="554"/>
      <c r="L323" s="554"/>
      <c r="M323" s="554"/>
      <c r="N323" s="554"/>
    </row>
    <row r="324" spans="1:14">
      <c r="A324" s="554"/>
      <c r="B324" s="554"/>
      <c r="C324" s="554"/>
      <c r="D324" s="554"/>
      <c r="E324" s="554"/>
      <c r="F324" s="554"/>
      <c r="G324" s="554"/>
      <c r="H324" s="554"/>
      <c r="I324" s="554"/>
      <c r="J324" s="554"/>
      <c r="K324" s="554"/>
      <c r="L324" s="554"/>
      <c r="M324" s="554"/>
      <c r="N324" s="554"/>
    </row>
    <row r="325" spans="1:14">
      <c r="A325" s="554"/>
      <c r="B325" s="554"/>
      <c r="C325" s="554"/>
      <c r="D325" s="554"/>
      <c r="E325" s="554"/>
      <c r="F325" s="554"/>
      <c r="G325" s="554"/>
      <c r="H325" s="554"/>
      <c r="I325" s="554"/>
      <c r="J325" s="554"/>
      <c r="K325" s="554"/>
      <c r="L325" s="554"/>
      <c r="M325" s="554"/>
      <c r="N325" s="554"/>
    </row>
    <row r="326" spans="1:14">
      <c r="A326" s="554"/>
      <c r="B326" s="554"/>
      <c r="C326" s="554"/>
      <c r="D326" s="554"/>
      <c r="E326" s="554"/>
      <c r="F326" s="554"/>
      <c r="G326" s="554"/>
      <c r="H326" s="554"/>
      <c r="I326" s="554"/>
      <c r="J326" s="554"/>
      <c r="K326" s="554"/>
      <c r="L326" s="554"/>
      <c r="M326" s="554"/>
      <c r="N326" s="554"/>
    </row>
    <row r="327" spans="1:14">
      <c r="A327" s="554"/>
      <c r="B327" s="554"/>
      <c r="C327" s="554"/>
      <c r="D327" s="554"/>
      <c r="E327" s="554"/>
      <c r="F327" s="554"/>
      <c r="G327" s="554"/>
      <c r="H327" s="554"/>
      <c r="I327" s="554"/>
      <c r="J327" s="554"/>
      <c r="K327" s="554"/>
      <c r="L327" s="554"/>
      <c r="M327" s="554"/>
      <c r="N327" s="554"/>
    </row>
    <row r="328" spans="1:14">
      <c r="A328" s="554"/>
      <c r="B328" s="554"/>
      <c r="C328" s="554"/>
      <c r="D328" s="554"/>
      <c r="E328" s="554"/>
      <c r="F328" s="554"/>
      <c r="G328" s="554"/>
      <c r="H328" s="554"/>
      <c r="I328" s="554"/>
      <c r="J328" s="554"/>
      <c r="K328" s="554"/>
      <c r="L328" s="554"/>
      <c r="M328" s="554"/>
      <c r="N328" s="554"/>
    </row>
    <row r="329" spans="1:14">
      <c r="A329" s="554"/>
      <c r="B329" s="554"/>
      <c r="C329" s="554"/>
      <c r="D329" s="554"/>
      <c r="E329" s="554"/>
      <c r="F329" s="554"/>
      <c r="G329" s="554"/>
      <c r="H329" s="554"/>
      <c r="I329" s="554"/>
      <c r="J329" s="554"/>
      <c r="K329" s="554"/>
      <c r="L329" s="554"/>
      <c r="M329" s="554"/>
      <c r="N329" s="554"/>
    </row>
    <row r="330" spans="1:14">
      <c r="A330" s="554"/>
      <c r="B330" s="554"/>
      <c r="C330" s="554"/>
      <c r="D330" s="554"/>
      <c r="E330" s="554"/>
      <c r="F330" s="554"/>
      <c r="G330" s="554"/>
      <c r="H330" s="554"/>
      <c r="I330" s="554"/>
      <c r="J330" s="554"/>
      <c r="K330" s="554"/>
      <c r="L330" s="554"/>
      <c r="M330" s="554"/>
      <c r="N330" s="554"/>
    </row>
    <row r="331" spans="1:14">
      <c r="A331" s="554"/>
      <c r="B331" s="554"/>
      <c r="C331" s="554"/>
      <c r="D331" s="554"/>
      <c r="E331" s="554"/>
      <c r="F331" s="554"/>
      <c r="G331" s="554"/>
      <c r="H331" s="554"/>
      <c r="I331" s="554"/>
      <c r="J331" s="554"/>
      <c r="K331" s="554"/>
      <c r="L331" s="554"/>
      <c r="M331" s="554"/>
      <c r="N331" s="554"/>
    </row>
    <row r="332" spans="1:14">
      <c r="A332" s="554"/>
      <c r="B332" s="554"/>
      <c r="C332" s="554"/>
      <c r="D332" s="554"/>
      <c r="E332" s="554"/>
      <c r="F332" s="554"/>
      <c r="G332" s="554"/>
      <c r="H332" s="554"/>
      <c r="I332" s="554"/>
      <c r="J332" s="554"/>
      <c r="K332" s="554"/>
      <c r="L332" s="554"/>
      <c r="M332" s="554"/>
      <c r="N332" s="554"/>
    </row>
    <row r="333" spans="1:14">
      <c r="A333" s="554"/>
      <c r="B333" s="554"/>
      <c r="C333" s="554"/>
      <c r="D333" s="554"/>
      <c r="E333" s="554"/>
      <c r="F333" s="554"/>
      <c r="G333" s="554"/>
      <c r="H333" s="554"/>
      <c r="I333" s="554"/>
      <c r="J333" s="554"/>
      <c r="K333" s="554"/>
      <c r="L333" s="554"/>
      <c r="M333" s="554"/>
      <c r="N333" s="554"/>
    </row>
    <row r="334" spans="1:14">
      <c r="A334" s="554"/>
      <c r="B334" s="554"/>
      <c r="C334" s="554"/>
      <c r="D334" s="554"/>
      <c r="E334" s="554"/>
      <c r="F334" s="554"/>
      <c r="G334" s="554"/>
      <c r="H334" s="554"/>
      <c r="I334" s="554"/>
      <c r="J334" s="554"/>
      <c r="K334" s="554"/>
      <c r="L334" s="554"/>
      <c r="M334" s="554"/>
      <c r="N334" s="554"/>
    </row>
    <row r="335" spans="1:14">
      <c r="A335" s="554"/>
      <c r="B335" s="554"/>
      <c r="C335" s="554"/>
      <c r="D335" s="554"/>
      <c r="E335" s="554"/>
      <c r="F335" s="554"/>
      <c r="G335" s="554"/>
      <c r="H335" s="554"/>
      <c r="I335" s="554"/>
      <c r="J335" s="554"/>
      <c r="K335" s="554"/>
      <c r="L335" s="554"/>
      <c r="M335" s="554"/>
      <c r="N335" s="554"/>
    </row>
    <row r="336" spans="1:14">
      <c r="A336" s="554"/>
      <c r="B336" s="554"/>
      <c r="C336" s="554"/>
      <c r="D336" s="554"/>
      <c r="E336" s="554"/>
      <c r="F336" s="554"/>
      <c r="G336" s="554"/>
      <c r="H336" s="554"/>
      <c r="I336" s="554"/>
      <c r="J336" s="554"/>
      <c r="K336" s="554"/>
      <c r="L336" s="554"/>
      <c r="M336" s="554"/>
      <c r="N336" s="554"/>
    </row>
    <row r="337" spans="1:14">
      <c r="A337" s="554"/>
      <c r="B337" s="554"/>
      <c r="C337" s="554"/>
      <c r="D337" s="554"/>
      <c r="E337" s="554"/>
      <c r="F337" s="554"/>
      <c r="G337" s="554"/>
      <c r="H337" s="554"/>
      <c r="I337" s="554"/>
      <c r="J337" s="554"/>
      <c r="K337" s="554"/>
      <c r="L337" s="554"/>
      <c r="M337" s="554"/>
      <c r="N337" s="554"/>
    </row>
    <row r="338" spans="1:14">
      <c r="A338" s="554"/>
      <c r="B338" s="554"/>
      <c r="C338" s="554"/>
      <c r="D338" s="554"/>
      <c r="E338" s="554"/>
      <c r="F338" s="554"/>
      <c r="G338" s="554"/>
      <c r="H338" s="554"/>
      <c r="I338" s="554"/>
      <c r="J338" s="554"/>
      <c r="K338" s="554"/>
      <c r="L338" s="554"/>
      <c r="M338" s="554"/>
      <c r="N338" s="554"/>
    </row>
    <row r="339" spans="1:14">
      <c r="A339" s="554"/>
      <c r="B339" s="554"/>
      <c r="C339" s="554"/>
      <c r="D339" s="554"/>
      <c r="E339" s="554"/>
      <c r="F339" s="554"/>
      <c r="G339" s="554"/>
      <c r="H339" s="554"/>
      <c r="I339" s="554"/>
      <c r="J339" s="554"/>
      <c r="K339" s="554"/>
      <c r="L339" s="554"/>
      <c r="M339" s="554"/>
      <c r="N339" s="554"/>
    </row>
    <row r="340" spans="1:14">
      <c r="A340" s="554"/>
      <c r="B340" s="554"/>
      <c r="C340" s="554"/>
      <c r="D340" s="554"/>
      <c r="E340" s="554"/>
      <c r="F340" s="554"/>
      <c r="G340" s="554"/>
      <c r="H340" s="554"/>
      <c r="I340" s="554"/>
      <c r="J340" s="554"/>
      <c r="K340" s="554"/>
      <c r="L340" s="554"/>
      <c r="M340" s="554"/>
      <c r="N340" s="554"/>
    </row>
    <row r="341" spans="1:14">
      <c r="A341" s="554"/>
      <c r="B341" s="554"/>
      <c r="C341" s="554"/>
      <c r="D341" s="554"/>
      <c r="E341" s="554"/>
      <c r="F341" s="554"/>
      <c r="G341" s="554"/>
      <c r="H341" s="554"/>
      <c r="I341" s="554"/>
      <c r="J341" s="554"/>
      <c r="K341" s="554"/>
      <c r="L341" s="554"/>
      <c r="M341" s="554"/>
      <c r="N341" s="554"/>
    </row>
    <row r="342" spans="1:14">
      <c r="A342" s="554"/>
      <c r="B342" s="554"/>
      <c r="C342" s="554"/>
      <c r="D342" s="554"/>
      <c r="E342" s="554"/>
      <c r="F342" s="554"/>
      <c r="G342" s="554"/>
      <c r="H342" s="554"/>
      <c r="I342" s="554"/>
      <c r="J342" s="554"/>
      <c r="K342" s="554"/>
      <c r="L342" s="554"/>
      <c r="M342" s="554"/>
      <c r="N342" s="554"/>
    </row>
    <row r="343" spans="1:14">
      <c r="A343" s="554"/>
      <c r="B343" s="554"/>
      <c r="C343" s="554"/>
      <c r="D343" s="554"/>
      <c r="E343" s="554"/>
      <c r="F343" s="554"/>
      <c r="G343" s="554"/>
      <c r="H343" s="554"/>
      <c r="I343" s="554"/>
      <c r="J343" s="554"/>
      <c r="K343" s="554"/>
      <c r="L343" s="554"/>
      <c r="M343" s="554"/>
      <c r="N343" s="554"/>
    </row>
    <row r="344" spans="1:14">
      <c r="A344" s="554"/>
      <c r="B344" s="554"/>
      <c r="C344" s="554"/>
      <c r="D344" s="554"/>
      <c r="E344" s="554"/>
      <c r="F344" s="554"/>
      <c r="G344" s="554"/>
      <c r="H344" s="554"/>
      <c r="I344" s="554"/>
      <c r="J344" s="554"/>
      <c r="K344" s="554"/>
      <c r="L344" s="554"/>
      <c r="M344" s="554"/>
      <c r="N344" s="554"/>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t="s">
        <v>1660</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topLeftCell="A22" workbookViewId="0">
      <selection activeCell="L27" sqref="L27"/>
    </sheetView>
  </sheetViews>
  <sheetFormatPr defaultRowHeight="12.5"/>
  <cols>
    <col min="2" max="2" width="15.1796875" customWidth="1"/>
  </cols>
  <sheetData>
    <row r="1" spans="1:10" ht="18">
      <c r="A1" s="12" t="s">
        <v>133</v>
      </c>
      <c r="B1" s="13"/>
      <c r="C1" s="13"/>
      <c r="D1" s="13"/>
      <c r="E1" s="13"/>
      <c r="F1" s="13"/>
      <c r="G1" s="13"/>
      <c r="H1" s="13"/>
      <c r="I1" s="13"/>
      <c r="J1" s="13"/>
    </row>
    <row r="3" spans="1:10" ht="15.5">
      <c r="A3" s="37"/>
      <c r="B3" s="38" t="s">
        <v>134</v>
      </c>
      <c r="C3" s="37"/>
      <c r="D3" s="37"/>
      <c r="E3" s="37"/>
      <c r="F3" s="37"/>
      <c r="G3" s="37"/>
      <c r="H3" s="37"/>
      <c r="I3" s="37"/>
      <c r="J3" s="37"/>
    </row>
    <row r="4" spans="1:10">
      <c r="B4" s="37" t="s">
        <v>135</v>
      </c>
      <c r="C4" s="154"/>
      <c r="D4" s="154"/>
    </row>
    <row r="5" spans="1:10">
      <c r="C5" s="154"/>
      <c r="D5" s="154"/>
    </row>
    <row r="6" spans="1:10">
      <c r="B6" s="37" t="s">
        <v>136</v>
      </c>
      <c r="C6" s="154"/>
      <c r="D6" s="154"/>
    </row>
    <row r="7" spans="1:10">
      <c r="C7" s="154"/>
      <c r="D7" s="154"/>
    </row>
    <row r="8" spans="1:10">
      <c r="A8" s="37"/>
      <c r="B8" s="39" t="s">
        <v>137</v>
      </c>
      <c r="C8" s="37"/>
      <c r="D8" s="39" t="s">
        <v>138</v>
      </c>
      <c r="E8" s="37"/>
      <c r="F8" s="37"/>
      <c r="G8" s="37"/>
      <c r="H8" s="37"/>
      <c r="I8" s="37"/>
      <c r="J8" s="37"/>
    </row>
    <row r="9" spans="1:10">
      <c r="A9" s="37"/>
      <c r="B9" s="76" t="s">
        <v>139</v>
      </c>
      <c r="C9" s="37"/>
      <c r="D9" s="76" t="s">
        <v>140</v>
      </c>
      <c r="E9" s="37"/>
      <c r="F9" s="37"/>
      <c r="G9" s="37"/>
      <c r="H9" s="37"/>
      <c r="I9" s="37"/>
      <c r="J9" s="37"/>
    </row>
    <row r="10" spans="1:10">
      <c r="A10" s="37"/>
      <c r="B10" s="40" t="s">
        <v>141</v>
      </c>
      <c r="C10" s="37"/>
      <c r="D10" s="40" t="s">
        <v>142</v>
      </c>
      <c r="E10" s="40"/>
      <c r="F10" s="37"/>
      <c r="G10" s="37"/>
      <c r="H10" s="37"/>
      <c r="I10" s="37"/>
      <c r="J10" s="37"/>
    </row>
    <row r="11" spans="1:10">
      <c r="A11" s="37"/>
      <c r="B11" s="41" t="s">
        <v>143</v>
      </c>
      <c r="C11" s="37"/>
      <c r="D11" s="41" t="s">
        <v>144</v>
      </c>
      <c r="E11" s="37"/>
      <c r="F11" s="37"/>
      <c r="G11" s="37"/>
      <c r="H11" s="37"/>
      <c r="I11" s="37"/>
      <c r="J11" s="37"/>
    </row>
    <row r="12" spans="1:10">
      <c r="A12" s="37"/>
      <c r="B12" s="37" t="s">
        <v>145</v>
      </c>
      <c r="C12" s="37"/>
      <c r="D12" s="37" t="s">
        <v>146</v>
      </c>
      <c r="E12" s="37"/>
      <c r="F12" s="37"/>
      <c r="G12" s="37"/>
      <c r="H12" s="37"/>
      <c r="I12" s="37"/>
      <c r="J12" s="37"/>
    </row>
    <row r="14" spans="1:10" ht="15.5">
      <c r="A14" s="37"/>
      <c r="B14" s="38" t="s">
        <v>147</v>
      </c>
      <c r="C14" s="37"/>
      <c r="D14" s="37"/>
      <c r="E14" s="37"/>
      <c r="F14" s="37"/>
      <c r="G14" s="37"/>
      <c r="H14" s="37"/>
      <c r="I14" s="37"/>
      <c r="J14" s="37"/>
    </row>
    <row r="15" spans="1:10">
      <c r="A15" s="37"/>
      <c r="B15" s="673" t="s">
        <v>148</v>
      </c>
      <c r="C15" s="673"/>
      <c r="D15" s="673"/>
      <c r="E15" s="673"/>
      <c r="F15" s="673"/>
      <c r="G15" s="673"/>
      <c r="H15" s="673"/>
      <c r="I15" s="673"/>
      <c r="J15" s="673"/>
    </row>
    <row r="17" spans="2:22" ht="36.75" customHeight="1">
      <c r="B17" s="77" t="s">
        <v>149</v>
      </c>
      <c r="C17" s="674" t="s">
        <v>150</v>
      </c>
      <c r="D17" s="675"/>
      <c r="E17" s="675"/>
      <c r="F17" s="671"/>
      <c r="G17" s="674" t="s">
        <v>151</v>
      </c>
      <c r="H17" s="671"/>
      <c r="I17" s="671"/>
      <c r="J17" s="671"/>
    </row>
    <row r="18" spans="2:22" ht="49.5" customHeight="1">
      <c r="B18" s="78" t="s">
        <v>152</v>
      </c>
      <c r="C18" s="670" t="s">
        <v>153</v>
      </c>
      <c r="D18" s="671"/>
      <c r="E18" s="671"/>
      <c r="F18" s="671"/>
      <c r="G18" s="670" t="s">
        <v>154</v>
      </c>
      <c r="H18" s="672"/>
      <c r="I18" s="672"/>
      <c r="J18" s="671"/>
    </row>
    <row r="19" spans="2:22" ht="49.5" customHeight="1">
      <c r="B19" s="78" t="s">
        <v>155</v>
      </c>
      <c r="C19" s="670" t="s">
        <v>156</v>
      </c>
      <c r="D19" s="671"/>
      <c r="E19" s="671"/>
      <c r="F19" s="671"/>
      <c r="G19" s="670" t="s">
        <v>157</v>
      </c>
      <c r="H19" s="672"/>
      <c r="I19" s="672"/>
      <c r="J19" s="671"/>
    </row>
    <row r="20" spans="2:22" ht="49.5" customHeight="1">
      <c r="B20" s="78" t="s">
        <v>158</v>
      </c>
      <c r="C20" s="670" t="s">
        <v>159</v>
      </c>
      <c r="D20" s="671"/>
      <c r="E20" s="671"/>
      <c r="F20" s="671"/>
      <c r="G20" s="670" t="s">
        <v>160</v>
      </c>
      <c r="H20" s="672"/>
      <c r="I20" s="672"/>
      <c r="J20" s="671"/>
    </row>
    <row r="21" spans="2:22" ht="49.5" customHeight="1">
      <c r="B21" s="78" t="s">
        <v>161</v>
      </c>
      <c r="C21" s="670" t="s">
        <v>162</v>
      </c>
      <c r="D21" s="671"/>
      <c r="E21" s="671"/>
      <c r="F21" s="671"/>
      <c r="G21" s="670" t="s">
        <v>163</v>
      </c>
      <c r="H21" s="672"/>
      <c r="I21" s="672"/>
      <c r="J21" s="671"/>
    </row>
    <row r="22" spans="2:22" ht="49.5" customHeight="1">
      <c r="B22" s="78" t="s">
        <v>164</v>
      </c>
      <c r="C22" s="670" t="s">
        <v>165</v>
      </c>
      <c r="D22" s="671"/>
      <c r="E22" s="671"/>
      <c r="F22" s="671"/>
      <c r="G22" s="670" t="s">
        <v>166</v>
      </c>
      <c r="H22" s="672"/>
      <c r="I22" s="672"/>
      <c r="J22" s="671"/>
    </row>
    <row r="23" spans="2:22" ht="49.5" customHeight="1">
      <c r="B23" s="78" t="s">
        <v>167</v>
      </c>
      <c r="C23" s="670" t="s">
        <v>168</v>
      </c>
      <c r="D23" s="671"/>
      <c r="E23" s="671"/>
      <c r="F23" s="671"/>
      <c r="G23" s="670" t="s">
        <v>169</v>
      </c>
      <c r="H23" s="672"/>
      <c r="I23" s="672"/>
      <c r="J23" s="671"/>
    </row>
    <row r="24" spans="2:22" ht="49.5" customHeight="1">
      <c r="B24" s="78" t="s">
        <v>170</v>
      </c>
      <c r="C24" s="670" t="s">
        <v>171</v>
      </c>
      <c r="D24" s="671"/>
      <c r="E24" s="671"/>
      <c r="F24" s="671"/>
      <c r="G24" s="670" t="s">
        <v>172</v>
      </c>
      <c r="H24" s="672"/>
      <c r="I24" s="672"/>
      <c r="J24" s="671"/>
    </row>
    <row r="25" spans="2:22" ht="49.5" customHeight="1">
      <c r="B25" s="78" t="s">
        <v>173</v>
      </c>
      <c r="C25" s="670" t="s">
        <v>174</v>
      </c>
      <c r="D25" s="671"/>
      <c r="E25" s="671"/>
      <c r="F25" s="671"/>
      <c r="G25" s="670" t="s">
        <v>175</v>
      </c>
      <c r="H25" s="672"/>
      <c r="I25" s="672"/>
      <c r="J25" s="671"/>
    </row>
    <row r="26" spans="2:22" ht="49.5" customHeight="1">
      <c r="B26" s="664" t="s">
        <v>176</v>
      </c>
      <c r="C26" s="676" t="s">
        <v>177</v>
      </c>
      <c r="D26" s="677"/>
      <c r="E26" s="677"/>
      <c r="F26" s="677"/>
      <c r="G26" s="676" t="s">
        <v>178</v>
      </c>
      <c r="H26" s="678"/>
      <c r="I26" s="678"/>
      <c r="J26" s="677"/>
    </row>
    <row r="27" spans="2:22" s="666" customFormat="1" ht="49.5" customHeight="1">
      <c r="B27" s="78" t="s">
        <v>28</v>
      </c>
      <c r="C27" s="682" t="s">
        <v>1661</v>
      </c>
      <c r="D27" s="682"/>
      <c r="E27" s="682"/>
      <c r="F27" s="682"/>
      <c r="G27" s="682" t="s">
        <v>1662</v>
      </c>
      <c r="H27" s="682"/>
      <c r="I27" s="682"/>
      <c r="J27" s="682"/>
    </row>
    <row r="28" spans="2:22" ht="49.5" customHeight="1">
      <c r="B28" s="665" t="s">
        <v>179</v>
      </c>
      <c r="C28" s="679" t="s">
        <v>180</v>
      </c>
      <c r="D28" s="680"/>
      <c r="E28" s="680"/>
      <c r="F28" s="680"/>
      <c r="G28" s="679" t="s">
        <v>181</v>
      </c>
      <c r="H28" s="681"/>
      <c r="I28" s="681"/>
      <c r="J28" s="680"/>
    </row>
    <row r="29" spans="2:22" ht="49.5" customHeight="1">
      <c r="B29" s="78" t="s">
        <v>182</v>
      </c>
      <c r="C29" s="670" t="s">
        <v>183</v>
      </c>
      <c r="D29" s="671"/>
      <c r="E29" s="671"/>
      <c r="F29" s="671"/>
      <c r="G29" s="670" t="s">
        <v>181</v>
      </c>
      <c r="H29" s="672"/>
      <c r="I29" s="672"/>
      <c r="J29" s="671"/>
    </row>
    <row r="30" spans="2:22" ht="56.25" customHeight="1">
      <c r="B30" s="78" t="s">
        <v>58</v>
      </c>
      <c r="C30" s="670" t="s">
        <v>145</v>
      </c>
      <c r="D30" s="671"/>
      <c r="E30" s="671"/>
      <c r="F30" s="671"/>
      <c r="G30" s="670" t="s">
        <v>184</v>
      </c>
      <c r="H30" s="672"/>
      <c r="I30" s="672"/>
      <c r="J30" s="671"/>
    </row>
    <row r="31" spans="2:22" ht="49.5" customHeight="1">
      <c r="B31" s="78" t="s">
        <v>185</v>
      </c>
      <c r="C31" s="670" t="s">
        <v>145</v>
      </c>
      <c r="D31" s="671"/>
      <c r="E31" s="671"/>
      <c r="F31" s="671"/>
      <c r="G31" s="670" t="s">
        <v>186</v>
      </c>
      <c r="H31" s="672"/>
      <c r="I31" s="672"/>
      <c r="J31" s="671"/>
      <c r="V31" s="547"/>
    </row>
    <row r="32" spans="2:22" ht="49.5" customHeight="1">
      <c r="B32" s="78" t="s">
        <v>187</v>
      </c>
      <c r="C32" s="670" t="s">
        <v>188</v>
      </c>
      <c r="D32" s="671"/>
      <c r="E32" s="671"/>
      <c r="F32" s="671"/>
      <c r="G32" s="670" t="s">
        <v>154</v>
      </c>
      <c r="H32" s="672"/>
      <c r="I32" s="672"/>
      <c r="J32" s="671"/>
      <c r="V32" s="44"/>
    </row>
    <row r="33" spans="2:22" ht="51" customHeight="1">
      <c r="B33" s="78" t="s">
        <v>189</v>
      </c>
      <c r="C33" s="670" t="s">
        <v>190</v>
      </c>
      <c r="D33" s="671"/>
      <c r="E33" s="671"/>
      <c r="F33" s="671"/>
      <c r="G33" s="670" t="s">
        <v>191</v>
      </c>
      <c r="H33" s="672"/>
      <c r="I33" s="672"/>
      <c r="J33" s="671"/>
      <c r="V33" s="547"/>
    </row>
    <row r="34" spans="2:22" ht="49.5" customHeight="1">
      <c r="B34" s="78" t="s">
        <v>192</v>
      </c>
      <c r="C34" s="670" t="s">
        <v>193</v>
      </c>
      <c r="D34" s="671"/>
      <c r="E34" s="671"/>
      <c r="F34" s="671"/>
      <c r="G34" s="670" t="s">
        <v>194</v>
      </c>
      <c r="H34" s="672"/>
      <c r="I34" s="672"/>
      <c r="J34" s="671"/>
      <c r="V34" s="547"/>
    </row>
    <row r="35" spans="2:22" ht="56.25" customHeight="1">
      <c r="B35" s="78" t="s">
        <v>23</v>
      </c>
      <c r="C35" s="670" t="s">
        <v>195</v>
      </c>
      <c r="D35" s="671"/>
      <c r="E35" s="671"/>
      <c r="F35" s="671"/>
      <c r="G35" s="670" t="s">
        <v>196</v>
      </c>
      <c r="H35" s="672"/>
      <c r="I35" s="672"/>
      <c r="J35" s="671"/>
      <c r="V35" s="58"/>
    </row>
    <row r="36" spans="2:22" ht="49.5" customHeight="1">
      <c r="B36" s="78" t="s">
        <v>76</v>
      </c>
      <c r="C36" s="670" t="s">
        <v>145</v>
      </c>
      <c r="D36" s="671"/>
      <c r="E36" s="671"/>
      <c r="F36" s="671"/>
      <c r="G36" s="670" t="s">
        <v>197</v>
      </c>
      <c r="H36" s="672"/>
      <c r="I36" s="672"/>
      <c r="J36" s="671"/>
      <c r="V36" s="548"/>
    </row>
    <row r="37" spans="2:22" ht="49.5" customHeight="1">
      <c r="B37" s="78" t="s">
        <v>198</v>
      </c>
      <c r="C37" s="670" t="s">
        <v>145</v>
      </c>
      <c r="D37" s="671"/>
      <c r="E37" s="671"/>
      <c r="F37" s="671"/>
      <c r="G37" s="670" t="s">
        <v>199</v>
      </c>
      <c r="H37" s="672"/>
      <c r="I37" s="672"/>
      <c r="J37" s="671"/>
      <c r="V37" s="549"/>
    </row>
    <row r="38" spans="2:22" ht="49.5" customHeight="1">
      <c r="B38" s="78" t="s">
        <v>200</v>
      </c>
      <c r="C38" s="670" t="s">
        <v>145</v>
      </c>
      <c r="D38" s="671"/>
      <c r="E38" s="671"/>
      <c r="F38" s="671"/>
      <c r="G38" s="670" t="s">
        <v>201</v>
      </c>
      <c r="H38" s="672"/>
      <c r="I38" s="672"/>
      <c r="J38" s="671"/>
      <c r="V38" s="49"/>
    </row>
    <row r="39" spans="2:22">
      <c r="V39" s="58"/>
    </row>
    <row r="40" spans="2:22">
      <c r="T40" s="547"/>
      <c r="U40" s="44"/>
      <c r="V40" s="44"/>
    </row>
    <row r="41" spans="2:22">
      <c r="T41" s="44"/>
      <c r="U41" s="44"/>
      <c r="V41" s="58"/>
    </row>
    <row r="42" spans="2:22">
      <c r="T42" s="44"/>
      <c r="U42" s="44"/>
      <c r="V42" s="50"/>
    </row>
    <row r="43" spans="2:22">
      <c r="T43" s="44"/>
      <c r="U43" s="44"/>
      <c r="V43" s="547"/>
    </row>
    <row r="44" spans="2:22">
      <c r="T44" s="44"/>
      <c r="U44" s="44"/>
      <c r="V44" s="44"/>
    </row>
    <row r="45" spans="2:22">
      <c r="T45" s="44"/>
      <c r="U45" s="547"/>
      <c r="V45" s="44"/>
    </row>
  </sheetData>
  <sheetProtection algorithmName="SHA-512" hashValue="0ewq/naxfHHmhN5l744rUWjFQP9hvmlNfi2kPbRDt3bMBK2hYsCBZ+gUXy1e8Oo0sIZqZBtSkshVJJx9ho4tfA==" saltValue="j0Q+D39euhIVgraLuMdVTg==" spinCount="100000" sheet="1" objects="1" scenarios="1"/>
  <mergeCells count="45">
    <mergeCell ref="C36:F36"/>
    <mergeCell ref="G36:J36"/>
    <mergeCell ref="C37:F37"/>
    <mergeCell ref="G37:J37"/>
    <mergeCell ref="C38:F38"/>
    <mergeCell ref="G38:J38"/>
    <mergeCell ref="C33:F33"/>
    <mergeCell ref="G33:J33"/>
    <mergeCell ref="C34:F34"/>
    <mergeCell ref="G34:J34"/>
    <mergeCell ref="C35:F35"/>
    <mergeCell ref="G35:J35"/>
    <mergeCell ref="C30:F30"/>
    <mergeCell ref="G30:J30"/>
    <mergeCell ref="C31:F31"/>
    <mergeCell ref="G31:J31"/>
    <mergeCell ref="C32:F32"/>
    <mergeCell ref="G32:J32"/>
    <mergeCell ref="C26:F26"/>
    <mergeCell ref="G26:J26"/>
    <mergeCell ref="C28:F28"/>
    <mergeCell ref="G28:J28"/>
    <mergeCell ref="C29:F29"/>
    <mergeCell ref="G29:J29"/>
    <mergeCell ref="C27:F27"/>
    <mergeCell ref="G27:J27"/>
    <mergeCell ref="C23:F23"/>
    <mergeCell ref="G23:J23"/>
    <mergeCell ref="C24:F24"/>
    <mergeCell ref="G24:J24"/>
    <mergeCell ref="C25:F25"/>
    <mergeCell ref="G25:J25"/>
    <mergeCell ref="C20:F20"/>
    <mergeCell ref="G20:J20"/>
    <mergeCell ref="C21:F21"/>
    <mergeCell ref="G21:J21"/>
    <mergeCell ref="C22:F22"/>
    <mergeCell ref="G22:J22"/>
    <mergeCell ref="C19:F19"/>
    <mergeCell ref="G19:J19"/>
    <mergeCell ref="B15:J15"/>
    <mergeCell ref="C17:F17"/>
    <mergeCell ref="G17:J17"/>
    <mergeCell ref="C18:F18"/>
    <mergeCell ref="G18:J1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1796875" defaultRowHeight="12.5"/>
  <cols>
    <col min="2" max="2" width="9.81640625" customWidth="1"/>
    <col min="3" max="3" width="64.54296875" customWidth="1"/>
  </cols>
  <sheetData>
    <row r="1" spans="1:16" s="13" customFormat="1" ht="18">
      <c r="A1" s="12" t="s">
        <v>202</v>
      </c>
    </row>
    <row r="3" spans="1:16">
      <c r="C3" s="115" t="s">
        <v>203</v>
      </c>
    </row>
    <row r="4" spans="1:16" ht="13">
      <c r="A4" s="8" t="s">
        <v>204</v>
      </c>
    </row>
    <row r="5" spans="1:16">
      <c r="A5" t="s">
        <v>205</v>
      </c>
      <c r="C5" s="101"/>
      <c r="G5" s="115" t="s">
        <v>206</v>
      </c>
    </row>
    <row r="6" spans="1:16">
      <c r="A6" t="s">
        <v>207</v>
      </c>
      <c r="C6" s="101"/>
      <c r="G6" s="363" t="s">
        <v>206</v>
      </c>
    </row>
    <row r="7" spans="1:16">
      <c r="A7" t="s">
        <v>208</v>
      </c>
      <c r="C7" s="101"/>
    </row>
    <row r="8" spans="1:16">
      <c r="A8" s="115" t="s">
        <v>209</v>
      </c>
      <c r="C8" s="101"/>
      <c r="G8" s="115" t="s">
        <v>206</v>
      </c>
    </row>
    <row r="9" spans="1:16">
      <c r="A9" t="s">
        <v>210</v>
      </c>
      <c r="C9" s="101"/>
      <c r="G9" s="115" t="s">
        <v>206</v>
      </c>
    </row>
    <row r="10" spans="1:16">
      <c r="A10" t="s">
        <v>211</v>
      </c>
      <c r="C10" s="101"/>
      <c r="G10" s="115" t="s">
        <v>206</v>
      </c>
    </row>
    <row r="11" spans="1:16">
      <c r="A11" t="s">
        <v>212</v>
      </c>
      <c r="C11" s="101" t="s">
        <v>213</v>
      </c>
      <c r="G11" s="115" t="s">
        <v>206</v>
      </c>
    </row>
    <row r="12" spans="1:16">
      <c r="A12" t="s">
        <v>214</v>
      </c>
      <c r="C12" s="101"/>
      <c r="G12" s="363" t="s">
        <v>206</v>
      </c>
    </row>
    <row r="13" spans="1:16">
      <c r="A13" t="s">
        <v>215</v>
      </c>
      <c r="C13" s="101"/>
      <c r="G13" t="s">
        <v>206</v>
      </c>
    </row>
    <row r="14" spans="1:16" ht="12.75" customHeight="1">
      <c r="A14" t="s">
        <v>216</v>
      </c>
      <c r="C14" s="101">
        <v>2019</v>
      </c>
      <c r="E14" s="188" t="s">
        <v>206</v>
      </c>
      <c r="F14" s="188"/>
      <c r="G14" s="188" t="s">
        <v>206</v>
      </c>
      <c r="H14" s="188"/>
      <c r="I14" s="188"/>
      <c r="J14" s="188"/>
      <c r="K14" s="188"/>
      <c r="L14" s="188"/>
      <c r="M14" s="188"/>
      <c r="N14" s="188"/>
      <c r="O14" s="188"/>
      <c r="P14" s="188"/>
    </row>
    <row r="15" spans="1:16">
      <c r="C15" s="33"/>
      <c r="E15" s="188"/>
      <c r="F15" s="188"/>
      <c r="G15" s="364" t="s">
        <v>206</v>
      </c>
      <c r="H15" s="188"/>
      <c r="I15" s="188"/>
      <c r="J15" s="188"/>
      <c r="K15" s="188"/>
      <c r="L15" s="188"/>
      <c r="M15" s="188"/>
      <c r="N15" s="188"/>
      <c r="O15" s="188"/>
      <c r="P15" s="188"/>
    </row>
    <row r="16" spans="1:16" ht="13">
      <c r="A16" s="8" t="s">
        <v>217</v>
      </c>
      <c r="C16" s="33"/>
      <c r="G16" s="363" t="s">
        <v>206</v>
      </c>
    </row>
    <row r="17" spans="1:7">
      <c r="A17" t="s">
        <v>218</v>
      </c>
      <c r="C17" s="101"/>
      <c r="G17" t="s">
        <v>206</v>
      </c>
    </row>
    <row r="18" spans="1:7">
      <c r="A18" t="s">
        <v>207</v>
      </c>
      <c r="C18" s="101"/>
      <c r="G18" t="s">
        <v>206</v>
      </c>
    </row>
    <row r="19" spans="1:7">
      <c r="A19" t="s">
        <v>219</v>
      </c>
      <c r="C19" s="101"/>
      <c r="G19" s="363" t="s">
        <v>206</v>
      </c>
    </row>
    <row r="20" spans="1:7">
      <c r="A20" t="s">
        <v>220</v>
      </c>
      <c r="C20" s="101"/>
    </row>
    <row r="21" spans="1:7">
      <c r="C21" s="33"/>
    </row>
    <row r="22" spans="1:7" ht="13">
      <c r="A22" s="8" t="s">
        <v>221</v>
      </c>
      <c r="C22" s="33"/>
    </row>
    <row r="23" spans="1:7">
      <c r="A23" t="s">
        <v>218</v>
      </c>
      <c r="C23" s="101"/>
    </row>
    <row r="24" spans="1:7">
      <c r="A24" t="s">
        <v>222</v>
      </c>
      <c r="C24" s="101"/>
    </row>
    <row r="25" spans="1:7">
      <c r="A25" t="s">
        <v>223</v>
      </c>
      <c r="C25" s="101"/>
    </row>
    <row r="26" spans="1:7">
      <c r="A26" t="s">
        <v>219</v>
      </c>
      <c r="C26" s="101"/>
    </row>
    <row r="27" spans="1:7">
      <c r="A27" t="s">
        <v>220</v>
      </c>
      <c r="C27" s="101"/>
    </row>
    <row r="28" spans="1:7">
      <c r="A28" t="s">
        <v>207</v>
      </c>
      <c r="C28" s="101"/>
    </row>
    <row r="29" spans="1:7">
      <c r="C29" s="33"/>
    </row>
    <row r="30" spans="1:7" ht="13">
      <c r="A30" s="8" t="s">
        <v>224</v>
      </c>
      <c r="C30" s="33"/>
    </row>
    <row r="31" spans="1:7">
      <c r="C31" s="101"/>
    </row>
    <row r="32" spans="1:7">
      <c r="C32" s="101"/>
    </row>
    <row r="33" spans="1:3">
      <c r="C33" s="101"/>
    </row>
    <row r="34" spans="1:3">
      <c r="C34" s="101"/>
    </row>
    <row r="35" spans="1:3">
      <c r="C35" s="101"/>
    </row>
    <row r="36" spans="1:3">
      <c r="C36" s="101"/>
    </row>
    <row r="37" spans="1:3">
      <c r="C37" s="101"/>
    </row>
    <row r="38" spans="1:3">
      <c r="C38" s="101"/>
    </row>
    <row r="39" spans="1:3">
      <c r="C39" s="101"/>
    </row>
    <row r="40" spans="1:3">
      <c r="C40" s="101"/>
    </row>
    <row r="44" spans="1:3" ht="13">
      <c r="A44" s="3" t="s">
        <v>225</v>
      </c>
    </row>
    <row r="45" spans="1:3" ht="13">
      <c r="A45" s="3" t="s">
        <v>226</v>
      </c>
    </row>
    <row r="46" spans="1:3" ht="13">
      <c r="A46" s="3" t="s">
        <v>213</v>
      </c>
    </row>
    <row r="47" spans="1:3">
      <c r="A47" t="s">
        <v>227</v>
      </c>
    </row>
    <row r="48" spans="1:3">
      <c r="A48" t="s">
        <v>228</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7" spans="1:1" ht="13">
      <c r="A57" s="3" t="s">
        <v>236</v>
      </c>
    </row>
    <row r="58" spans="1:1" ht="13">
      <c r="A58" s="3" t="s">
        <v>213</v>
      </c>
    </row>
    <row r="59" spans="1:1">
      <c r="A59" s="191" t="s">
        <v>237</v>
      </c>
    </row>
    <row r="60" spans="1:1">
      <c r="A60" s="191" t="s">
        <v>238</v>
      </c>
    </row>
    <row r="61" spans="1:1">
      <c r="A61" s="191" t="s">
        <v>239</v>
      </c>
    </row>
    <row r="62" spans="1:1">
      <c r="A62" s="191" t="s">
        <v>240</v>
      </c>
    </row>
    <row r="63" spans="1:1">
      <c r="A63" s="191" t="s">
        <v>241</v>
      </c>
    </row>
    <row r="64" spans="1:1">
      <c r="A64" s="191" t="s">
        <v>242</v>
      </c>
    </row>
    <row r="65" spans="1:1">
      <c r="A65" s="191" t="s">
        <v>243</v>
      </c>
    </row>
    <row r="67" spans="1:1" ht="13">
      <c r="A67" s="3" t="s">
        <v>244</v>
      </c>
    </row>
    <row r="68" spans="1:1">
      <c r="A68" t="s">
        <v>213</v>
      </c>
    </row>
    <row r="69" spans="1:1">
      <c r="A69" t="s">
        <v>245</v>
      </c>
    </row>
    <row r="70" spans="1:1">
      <c r="A70" t="s">
        <v>246</v>
      </c>
    </row>
    <row r="72" spans="1:1" ht="13">
      <c r="A72" s="3" t="s">
        <v>247</v>
      </c>
    </row>
    <row r="73" spans="1:1">
      <c r="A73">
        <v>2019</v>
      </c>
    </row>
    <row r="74" spans="1:1">
      <c r="A74">
        <v>2011</v>
      </c>
    </row>
    <row r="75" spans="1:1">
      <c r="A75" s="115" t="s">
        <v>248</v>
      </c>
    </row>
    <row r="76" spans="1:1">
      <c r="A76" s="33" t="s">
        <v>206</v>
      </c>
    </row>
    <row r="77" spans="1:1" ht="13">
      <c r="A77" s="3" t="s">
        <v>249</v>
      </c>
    </row>
    <row r="78" spans="1:1">
      <c r="A78" s="115" t="s">
        <v>250</v>
      </c>
    </row>
    <row r="79" spans="1:1">
      <c r="A79" s="115" t="s">
        <v>251</v>
      </c>
    </row>
    <row r="80" spans="1:1">
      <c r="A80" s="115" t="s">
        <v>252</v>
      </c>
    </row>
    <row r="81" spans="1:1">
      <c r="A81" s="115" t="s">
        <v>253</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796875" defaultRowHeight="13"/>
  <cols>
    <col min="1" max="13" width="9.1796875" style="6"/>
    <col min="14" max="16384" width="9.1796875" style="1"/>
  </cols>
  <sheetData>
    <row r="1" spans="1:13" s="11" customFormat="1" ht="18" customHeight="1">
      <c r="A1" s="12" t="s">
        <v>254</v>
      </c>
      <c r="B1" s="14"/>
      <c r="C1" s="381"/>
      <c r="D1" s="381"/>
      <c r="E1" s="381"/>
      <c r="F1" s="15"/>
      <c r="G1" s="15"/>
      <c r="H1" s="381"/>
      <c r="I1" s="381"/>
      <c r="J1" s="381"/>
      <c r="K1" s="381"/>
      <c r="L1" s="381"/>
      <c r="M1" s="381"/>
    </row>
    <row r="2" spans="1:13" s="2" customFormat="1" ht="12.75" customHeight="1">
      <c r="A2" s="9"/>
      <c r="B2" s="9"/>
      <c r="C2" s="154"/>
      <c r="D2" s="154"/>
      <c r="E2" s="154"/>
      <c r="F2" s="154"/>
      <c r="G2" s="154"/>
      <c r="H2" s="154"/>
      <c r="I2" s="1"/>
      <c r="J2" s="154"/>
      <c r="K2" s="154"/>
      <c r="L2" s="154"/>
      <c r="M2" s="154"/>
    </row>
    <row r="3" spans="1:13" ht="12.75" customHeight="1">
      <c r="A3" s="154"/>
      <c r="B3" s="154"/>
      <c r="C3" s="154"/>
      <c r="D3" s="155" t="s">
        <v>255</v>
      </c>
      <c r="E3" s="155" t="s">
        <v>256</v>
      </c>
      <c r="F3" s="155" t="s">
        <v>257</v>
      </c>
      <c r="G3" s="16"/>
      <c r="H3" s="154"/>
      <c r="I3" s="154"/>
      <c r="J3" s="154"/>
      <c r="K3" s="154"/>
      <c r="L3" s="154"/>
      <c r="M3" s="154"/>
    </row>
    <row r="4" spans="1:13" ht="15">
      <c r="A4" s="154"/>
      <c r="B4" s="154"/>
      <c r="C4" s="154"/>
      <c r="D4" s="155" t="s">
        <v>258</v>
      </c>
      <c r="E4" s="155" t="s">
        <v>259</v>
      </c>
      <c r="F4" s="155" t="s">
        <v>260</v>
      </c>
      <c r="G4" s="16"/>
      <c r="H4" s="154"/>
      <c r="I4" s="154"/>
      <c r="J4" s="154"/>
      <c r="K4" s="154"/>
      <c r="L4" s="154"/>
      <c r="M4" s="154"/>
    </row>
    <row r="5" spans="1:13">
      <c r="A5" s="154" t="s">
        <v>261</v>
      </c>
      <c r="B5" s="154"/>
      <c r="C5" s="154"/>
      <c r="D5" s="662">
        <v>63</v>
      </c>
      <c r="E5" s="662">
        <v>2.4</v>
      </c>
      <c r="F5" s="157">
        <f>D5*E5</f>
        <v>151.19999999999999</v>
      </c>
      <c r="G5" s="16"/>
      <c r="H5" s="154"/>
      <c r="I5" s="154"/>
      <c r="J5" s="154"/>
      <c r="K5" s="154"/>
      <c r="L5" s="154"/>
      <c r="M5" s="154"/>
    </row>
    <row r="6" spans="1:13">
      <c r="A6" s="154" t="s">
        <v>262</v>
      </c>
      <c r="B6" s="154"/>
      <c r="C6" s="154"/>
      <c r="D6" s="662">
        <v>63</v>
      </c>
      <c r="E6" s="662">
        <v>2.7</v>
      </c>
      <c r="F6" s="157">
        <f>D6*E6</f>
        <v>170.10000000000002</v>
      </c>
      <c r="G6" s="154"/>
      <c r="H6" s="154"/>
      <c r="I6" s="154"/>
      <c r="J6" s="154"/>
      <c r="K6" s="154"/>
      <c r="L6" s="154"/>
      <c r="M6" s="154"/>
    </row>
    <row r="7" spans="1:13">
      <c r="A7" s="154" t="s">
        <v>263</v>
      </c>
      <c r="B7" s="154"/>
      <c r="C7" s="154"/>
      <c r="D7" s="382"/>
      <c r="E7" s="382"/>
      <c r="F7" s="157">
        <f>D7*E7</f>
        <v>0</v>
      </c>
      <c r="G7" s="154"/>
      <c r="H7" s="154"/>
      <c r="I7" s="154"/>
      <c r="J7" s="154"/>
      <c r="K7" s="154"/>
      <c r="L7" s="154"/>
      <c r="M7" s="154"/>
    </row>
    <row r="8" spans="1:13">
      <c r="A8" s="154" t="s">
        <v>264</v>
      </c>
      <c r="B8" s="154"/>
      <c r="C8" s="154"/>
      <c r="D8" s="382"/>
      <c r="E8" s="382"/>
      <c r="F8" s="157">
        <f>D8*E8</f>
        <v>0</v>
      </c>
      <c r="G8" s="154"/>
      <c r="H8" s="154"/>
      <c r="I8" s="154"/>
      <c r="J8" s="154"/>
      <c r="K8" s="154"/>
      <c r="L8" s="154"/>
      <c r="M8" s="154"/>
    </row>
    <row r="9" spans="1:13" ht="15">
      <c r="A9" s="154" t="s">
        <v>265</v>
      </c>
      <c r="B9" s="154"/>
      <c r="C9" s="154"/>
      <c r="D9" s="383">
        <f>SUM(D5:D8)</f>
        <v>126</v>
      </c>
      <c r="E9" s="155"/>
      <c r="F9" s="157"/>
      <c r="G9" s="154"/>
      <c r="H9" s="154"/>
      <c r="I9" s="154"/>
      <c r="J9" s="154"/>
      <c r="K9" s="154"/>
      <c r="L9" s="154"/>
      <c r="M9" s="154"/>
    </row>
    <row r="10" spans="1:13" ht="15">
      <c r="A10" s="154" t="s">
        <v>266</v>
      </c>
      <c r="B10" s="154"/>
      <c r="C10" s="154"/>
      <c r="D10" s="155"/>
      <c r="E10" s="155"/>
      <c r="F10" s="383">
        <f>SUM(F5:F8)</f>
        <v>321.3</v>
      </c>
      <c r="G10" s="154"/>
      <c r="H10" s="154"/>
      <c r="I10" s="154"/>
      <c r="J10" s="154"/>
      <c r="K10" s="154"/>
      <c r="L10" s="154"/>
      <c r="M10" s="154"/>
    </row>
    <row r="11" spans="1:13">
      <c r="A11" s="1"/>
      <c r="B11" s="1"/>
      <c r="C11" s="1"/>
      <c r="D11" s="1"/>
      <c r="E11" s="1"/>
      <c r="F11" s="154"/>
      <c r="G11" s="154"/>
      <c r="H11" s="154"/>
      <c r="I11" s="154"/>
      <c r="J11" s="154"/>
      <c r="K11" s="154"/>
      <c r="L11" s="154"/>
      <c r="M11" s="154"/>
    </row>
    <row r="12" spans="1:13" ht="15">
      <c r="A12" s="154"/>
      <c r="B12" s="154"/>
      <c r="C12" s="154"/>
      <c r="D12" s="154" t="s">
        <v>258</v>
      </c>
      <c r="E12" s="154" t="s">
        <v>267</v>
      </c>
      <c r="F12" s="154"/>
      <c r="G12" s="154"/>
      <c r="H12" s="154"/>
      <c r="I12" s="154"/>
      <c r="J12" s="154"/>
      <c r="K12" s="154"/>
      <c r="L12" s="154"/>
      <c r="M12" s="154"/>
    </row>
    <row r="13" spans="1:13">
      <c r="A13" s="154" t="s">
        <v>268</v>
      </c>
      <c r="B13" s="154"/>
      <c r="C13" s="154"/>
      <c r="D13" s="384">
        <v>31.5</v>
      </c>
      <c r="E13" s="385">
        <f>IF(tfa,D13/tfa,0)</f>
        <v>0.25</v>
      </c>
      <c r="F13" s="154"/>
      <c r="G13" s="154"/>
      <c r="H13" s="154"/>
      <c r="I13" s="154"/>
      <c r="J13" s="154"/>
      <c r="K13" s="154"/>
      <c r="L13" s="154"/>
      <c r="M13" s="154"/>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19" zoomScaleNormal="100" workbookViewId="0">
      <selection activeCell="H56" sqref="H56"/>
    </sheetView>
  </sheetViews>
  <sheetFormatPr defaultColWidth="9.1796875" defaultRowHeight="12.5"/>
  <cols>
    <col min="1" max="5" width="9.1796875" style="7"/>
    <col min="6" max="6" width="17" style="7" customWidth="1"/>
    <col min="7" max="7" width="33.54296875" style="7" customWidth="1"/>
    <col min="8" max="8" width="16" style="7" customWidth="1"/>
    <col min="9" max="9" width="17.453125" style="7" customWidth="1"/>
    <col min="10" max="12" width="9.1796875" style="7"/>
    <col min="13" max="13" width="16.453125" style="7" customWidth="1"/>
    <col min="14" max="14" width="10.54296875" style="7" bestFit="1" customWidth="1"/>
    <col min="15" max="15" width="12.1796875" customWidth="1"/>
    <col min="16" max="16" width="12.1796875" style="506" customWidth="1"/>
    <col min="17" max="17" width="9.1796875" customWidth="1"/>
  </cols>
  <sheetData>
    <row r="1" spans="1:18" s="1" customFormat="1" ht="18" customHeight="1">
      <c r="A1" s="12" t="s">
        <v>269</v>
      </c>
      <c r="B1" s="14"/>
      <c r="C1" s="381"/>
      <c r="D1" s="381"/>
      <c r="E1" s="381"/>
      <c r="F1" s="15"/>
      <c r="G1" s="15"/>
      <c r="H1" s="381"/>
      <c r="I1" s="381"/>
      <c r="J1" s="381"/>
      <c r="K1" s="381"/>
      <c r="L1" s="381"/>
      <c r="M1" s="154"/>
      <c r="P1" s="503" t="s">
        <v>270</v>
      </c>
    </row>
    <row r="2" spans="1:18" ht="13">
      <c r="A2" s="9"/>
      <c r="B2" s="9"/>
      <c r="C2" s="154"/>
      <c r="D2" s="154"/>
      <c r="E2" s="154"/>
      <c r="F2" s="115"/>
      <c r="G2" s="156"/>
      <c r="H2" s="154"/>
      <c r="I2" s="154"/>
      <c r="J2" s="154"/>
      <c r="K2" s="154"/>
      <c r="L2" s="154"/>
      <c r="M2" s="154"/>
      <c r="N2" s="154"/>
      <c r="O2" s="1"/>
      <c r="P2" s="503"/>
    </row>
    <row r="3" spans="1:18" ht="15">
      <c r="A3" s="9" t="s">
        <v>271</v>
      </c>
      <c r="B3" s="9"/>
      <c r="C3" s="154"/>
      <c r="D3" s="154"/>
      <c r="E3" s="386"/>
      <c r="F3" s="155"/>
      <c r="G3" s="155" t="s">
        <v>272</v>
      </c>
      <c r="H3" s="155" t="s">
        <v>273</v>
      </c>
      <c r="I3" s="154"/>
      <c r="J3" s="154"/>
      <c r="K3" s="154"/>
      <c r="L3" s="154"/>
      <c r="M3" s="154"/>
      <c r="N3" s="154"/>
      <c r="O3" s="1"/>
      <c r="P3" s="503"/>
    </row>
    <row r="4" spans="1:18" ht="13">
      <c r="A4" s="154" t="s">
        <v>274</v>
      </c>
      <c r="B4" s="154"/>
      <c r="C4" s="154"/>
      <c r="D4" s="154"/>
      <c r="E4" s="386"/>
      <c r="F4" s="382">
        <v>0</v>
      </c>
      <c r="G4" s="155">
        <f>F4*40</f>
        <v>0</v>
      </c>
      <c r="H4" s="386"/>
      <c r="I4" s="154"/>
      <c r="J4" s="115"/>
      <c r="K4" s="154"/>
      <c r="L4" s="154"/>
      <c r="M4" s="486"/>
      <c r="N4" s="154"/>
      <c r="O4" s="1"/>
      <c r="P4" s="503">
        <f>40*1</f>
        <v>40</v>
      </c>
      <c r="R4" s="486" t="s">
        <v>206</v>
      </c>
    </row>
    <row r="5" spans="1:18" ht="13">
      <c r="A5" s="154" t="s">
        <v>275</v>
      </c>
      <c r="B5" s="154"/>
      <c r="C5" s="154"/>
      <c r="D5" s="154"/>
      <c r="E5" s="386"/>
      <c r="F5" s="382">
        <v>0</v>
      </c>
      <c r="G5" s="155">
        <f>F5*20</f>
        <v>0</v>
      </c>
      <c r="H5" s="155"/>
      <c r="I5" s="154"/>
      <c r="J5" s="115"/>
      <c r="K5" s="154"/>
      <c r="L5" s="154"/>
      <c r="M5" s="154"/>
      <c r="N5" s="154"/>
      <c r="O5" s="1"/>
      <c r="P5" s="503"/>
      <c r="R5" s="486" t="s">
        <v>206</v>
      </c>
    </row>
    <row r="6" spans="1:18" ht="13">
      <c r="A6" s="154" t="s">
        <v>276</v>
      </c>
      <c r="B6" s="154"/>
      <c r="C6" s="154"/>
      <c r="D6" s="154"/>
      <c r="E6" s="386"/>
      <c r="F6" s="382">
        <v>3</v>
      </c>
      <c r="G6" s="155">
        <f>F6*10</f>
        <v>30</v>
      </c>
      <c r="H6" s="155"/>
      <c r="I6" s="154"/>
      <c r="J6" s="486"/>
      <c r="K6" s="154"/>
      <c r="L6" s="154"/>
      <c r="M6" s="154"/>
      <c r="N6" s="154"/>
      <c r="O6" s="1"/>
      <c r="P6" s="503">
        <f>IF(tfa&gt;100,3,2)*10</f>
        <v>30</v>
      </c>
      <c r="R6" s="486" t="s">
        <v>206</v>
      </c>
    </row>
    <row r="7" spans="1:18" ht="13">
      <c r="A7" s="154" t="s">
        <v>277</v>
      </c>
      <c r="B7" s="154"/>
      <c r="C7" s="154"/>
      <c r="D7" s="154"/>
      <c r="E7" s="386"/>
      <c r="F7" s="382">
        <v>0</v>
      </c>
      <c r="G7" s="155">
        <f>F7*40</f>
        <v>0</v>
      </c>
      <c r="H7" s="155"/>
      <c r="I7" s="154"/>
      <c r="J7" s="154"/>
      <c r="K7" s="154"/>
      <c r="L7" s="154"/>
      <c r="M7" s="154"/>
      <c r="N7" s="154"/>
      <c r="O7" s="1"/>
      <c r="P7" s="503"/>
    </row>
    <row r="8" spans="1:18" ht="13">
      <c r="A8" s="154" t="s">
        <v>278</v>
      </c>
      <c r="B8" s="154"/>
      <c r="C8" s="154"/>
      <c r="D8" s="154"/>
      <c r="E8" s="386"/>
      <c r="F8" s="155"/>
      <c r="G8" s="157">
        <f>SUM(G4:G7)</f>
        <v>30</v>
      </c>
      <c r="H8" s="155"/>
      <c r="I8" s="154"/>
      <c r="J8" s="154"/>
      <c r="K8" s="154"/>
      <c r="L8" s="154"/>
      <c r="M8" s="154"/>
      <c r="N8" s="154"/>
      <c r="O8" s="1"/>
      <c r="P8" s="503">
        <f>SUM(P4:P7)</f>
        <v>70</v>
      </c>
    </row>
    <row r="9" spans="1:18" ht="13">
      <c r="A9" s="158" t="s">
        <v>279</v>
      </c>
      <c r="B9" s="158"/>
      <c r="C9" s="154"/>
      <c r="D9" s="154"/>
      <c r="E9" s="382" t="s">
        <v>246</v>
      </c>
      <c r="F9" s="155">
        <f>VLOOKUP(E9,$A$64:$B$66,2,FALSE)</f>
        <v>0</v>
      </c>
      <c r="G9" s="386"/>
      <c r="H9" s="155">
        <f>IF(F9=1,0,0.05)</f>
        <v>0.05</v>
      </c>
      <c r="I9" s="154"/>
      <c r="J9" s="154"/>
      <c r="K9" s="154"/>
      <c r="L9" s="154"/>
      <c r="M9" s="154"/>
      <c r="N9" s="154"/>
      <c r="O9" s="1"/>
      <c r="P9" s="503">
        <v>0.05</v>
      </c>
      <c r="R9" s="363" t="s">
        <v>206</v>
      </c>
    </row>
    <row r="10" spans="1:18" ht="13">
      <c r="A10" s="154" t="s">
        <v>280</v>
      </c>
      <c r="B10" s="154"/>
      <c r="C10" s="154"/>
      <c r="D10" s="154"/>
      <c r="E10" s="386"/>
      <c r="F10" s="155"/>
      <c r="G10" s="155"/>
      <c r="H10" s="387">
        <f>IF(volume=0,0,G8/volume+H9)</f>
        <v>0.14337068160597571</v>
      </c>
      <c r="I10" s="154"/>
      <c r="J10" s="154"/>
      <c r="K10" s="154"/>
      <c r="L10" s="154"/>
      <c r="M10" s="154"/>
      <c r="N10" s="154"/>
      <c r="O10" s="1"/>
      <c r="P10" s="504">
        <f>P8/volume+P9</f>
        <v>0.26786492374727666</v>
      </c>
    </row>
    <row r="11" spans="1:18" ht="13">
      <c r="A11" s="154"/>
      <c r="B11" s="154"/>
      <c r="C11" s="154"/>
      <c r="D11" s="115"/>
      <c r="E11" s="386"/>
      <c r="F11" s="155"/>
      <c r="G11" s="386"/>
      <c r="H11" s="386"/>
      <c r="I11" s="154"/>
      <c r="J11" s="154"/>
      <c r="K11" s="154"/>
      <c r="L11" s="154"/>
      <c r="M11" s="154"/>
      <c r="N11" s="154"/>
      <c r="O11" s="1"/>
      <c r="P11" s="503"/>
    </row>
    <row r="12" spans="1:18" ht="13">
      <c r="A12" s="9" t="s">
        <v>281</v>
      </c>
      <c r="B12" s="9"/>
      <c r="C12" s="154"/>
      <c r="D12" s="154"/>
      <c r="E12" s="155"/>
      <c r="F12" s="155"/>
      <c r="G12" s="155"/>
      <c r="H12" s="155" t="s">
        <v>273</v>
      </c>
      <c r="I12" s="154"/>
      <c r="J12" s="154"/>
      <c r="K12" s="154"/>
      <c r="L12" s="154"/>
      <c r="M12" s="154"/>
      <c r="N12" s="154"/>
      <c r="O12" s="1"/>
      <c r="P12" s="503"/>
    </row>
    <row r="13" spans="1:18" ht="13">
      <c r="A13" s="158" t="s">
        <v>282</v>
      </c>
      <c r="B13" s="115"/>
      <c r="C13" s="158"/>
      <c r="D13" s="154"/>
      <c r="E13" s="154"/>
      <c r="F13" s="155"/>
      <c r="G13" s="382">
        <v>2</v>
      </c>
      <c r="H13" s="155">
        <f>(G13-1)*0.1</f>
        <v>0.1</v>
      </c>
      <c r="I13" s="154"/>
      <c r="J13" s="154"/>
      <c r="K13" s="154"/>
      <c r="L13" s="154"/>
      <c r="M13" s="154"/>
      <c r="N13" s="154"/>
      <c r="O13" s="1"/>
      <c r="P13" s="503"/>
    </row>
    <row r="14" spans="1:18">
      <c r="A14" s="154" t="s">
        <v>283</v>
      </c>
      <c r="B14" s="154"/>
      <c r="C14" s="154"/>
      <c r="D14" s="154"/>
      <c r="E14" s="155"/>
      <c r="F14" s="382" t="s">
        <v>245</v>
      </c>
      <c r="G14" s="155">
        <f>VLOOKUP(F14,$A$64:$B$66,2,FALSE)</f>
        <v>1</v>
      </c>
      <c r="H14" s="155"/>
      <c r="I14" s="115"/>
      <c r="J14" s="115"/>
      <c r="K14" s="115"/>
      <c r="L14" s="115"/>
      <c r="M14" s="115"/>
      <c r="N14" s="115"/>
      <c r="P14" s="503"/>
    </row>
    <row r="15" spans="1:18" ht="13">
      <c r="A15" s="36" t="s">
        <v>284</v>
      </c>
      <c r="B15" s="154"/>
      <c r="C15" s="154"/>
      <c r="D15" s="154"/>
      <c r="E15" s="154"/>
      <c r="F15" s="155"/>
      <c r="G15" s="155"/>
      <c r="H15" s="115"/>
      <c r="I15" s="115"/>
      <c r="J15" s="115"/>
      <c r="K15" s="115"/>
      <c r="L15" s="115"/>
      <c r="M15" s="115"/>
      <c r="N15" s="115"/>
      <c r="P15" s="503"/>
    </row>
    <row r="16" spans="1:18">
      <c r="A16" s="154"/>
      <c r="B16" s="158" t="s">
        <v>285</v>
      </c>
      <c r="C16" s="158"/>
      <c r="D16" s="158"/>
      <c r="E16" s="154"/>
      <c r="F16" s="683" t="s">
        <v>286</v>
      </c>
      <c r="G16" s="683"/>
      <c r="H16" s="387">
        <f>VLOOKUP(F16,A69:C71,3,FALSE)</f>
        <v>0.35</v>
      </c>
      <c r="I16" s="115"/>
      <c r="J16" s="115"/>
      <c r="K16" s="115"/>
      <c r="L16" s="115"/>
      <c r="M16" s="115"/>
      <c r="N16" s="115"/>
      <c r="P16" s="503"/>
    </row>
    <row r="17" spans="1:24" ht="13">
      <c r="A17" s="154"/>
      <c r="B17" s="158" t="s">
        <v>287</v>
      </c>
      <c r="C17" s="158"/>
      <c r="D17" s="154"/>
      <c r="E17" s="154"/>
      <c r="F17" s="683" t="s">
        <v>145</v>
      </c>
      <c r="G17" s="684"/>
      <c r="H17" s="155">
        <f>VLOOKUP(F17,A74:C77,3,FALSE)</f>
        <v>0</v>
      </c>
      <c r="I17" s="154"/>
      <c r="J17" s="115"/>
      <c r="K17" s="154"/>
      <c r="L17" s="154"/>
      <c r="M17" s="154"/>
      <c r="N17" s="154"/>
      <c r="O17" s="1"/>
      <c r="P17" s="503"/>
    </row>
    <row r="18" spans="1:24" ht="13">
      <c r="A18" s="154"/>
      <c r="B18" s="158" t="s">
        <v>288</v>
      </c>
      <c r="C18" s="158"/>
      <c r="D18" s="154"/>
      <c r="E18" s="154"/>
      <c r="F18" s="155"/>
      <c r="G18" s="382">
        <v>100</v>
      </c>
      <c r="H18" s="155">
        <f>0.25-(0.2*(G18/100))</f>
        <v>4.9999999999999989E-2</v>
      </c>
      <c r="I18" s="115" t="s">
        <v>206</v>
      </c>
      <c r="J18" s="115"/>
      <c r="K18" s="154"/>
      <c r="L18" s="154"/>
      <c r="M18" s="154"/>
      <c r="N18" s="154"/>
      <c r="O18" s="1"/>
      <c r="P18" s="503"/>
    </row>
    <row r="19" spans="1:24" ht="13">
      <c r="A19" s="154"/>
      <c r="B19" s="158" t="s">
        <v>289</v>
      </c>
      <c r="C19" s="158"/>
      <c r="D19" s="154"/>
      <c r="E19" s="154"/>
      <c r="F19" s="155"/>
      <c r="G19" s="155"/>
      <c r="H19" s="387">
        <f>H13+SUM(H16:H18)</f>
        <v>0.5</v>
      </c>
      <c r="I19" s="154" t="s">
        <v>206</v>
      </c>
      <c r="J19" s="115"/>
      <c r="K19" s="154"/>
      <c r="L19" s="154"/>
      <c r="M19" s="154"/>
      <c r="N19" s="154"/>
      <c r="O19" s="1"/>
      <c r="P19" s="503"/>
    </row>
    <row r="20" spans="1:24" ht="13">
      <c r="A20" s="36" t="s">
        <v>290</v>
      </c>
      <c r="B20" s="154"/>
      <c r="C20" s="115"/>
      <c r="D20" s="115"/>
      <c r="E20" s="115"/>
      <c r="F20" s="115"/>
      <c r="G20" s="115"/>
      <c r="H20" s="115"/>
      <c r="I20" s="154"/>
      <c r="J20" s="154"/>
      <c r="K20" s="154"/>
      <c r="L20" s="154"/>
      <c r="M20" s="154"/>
      <c r="N20" s="154"/>
      <c r="O20" s="1"/>
      <c r="P20" s="503"/>
    </row>
    <row r="21" spans="1:24" ht="13">
      <c r="A21" s="115"/>
      <c r="B21" s="158" t="s">
        <v>291</v>
      </c>
      <c r="C21" s="154"/>
      <c r="D21" s="154"/>
      <c r="E21" s="154"/>
      <c r="F21" s="155"/>
      <c r="G21" s="155"/>
      <c r="H21" s="182" t="s">
        <v>206</v>
      </c>
      <c r="I21" s="154"/>
      <c r="J21" s="154"/>
      <c r="K21" s="154"/>
      <c r="L21" s="154"/>
      <c r="M21" s="154"/>
      <c r="N21" s="154"/>
      <c r="O21" s="1"/>
      <c r="P21" s="503"/>
    </row>
    <row r="22" spans="1:24" ht="15">
      <c r="A22" s="154"/>
      <c r="B22" s="154" t="s">
        <v>292</v>
      </c>
      <c r="C22" s="154"/>
      <c r="D22" s="154"/>
      <c r="E22" s="154"/>
      <c r="F22" s="155"/>
      <c r="G22" s="155"/>
      <c r="H22" s="182">
        <v>5</v>
      </c>
      <c r="I22" s="154" t="s">
        <v>293</v>
      </c>
      <c r="J22" s="154"/>
      <c r="K22" s="154"/>
      <c r="L22" s="154"/>
      <c r="M22" s="154"/>
      <c r="N22" s="154"/>
      <c r="O22" s="1"/>
      <c r="P22" s="503"/>
    </row>
    <row r="23" spans="1:24" ht="13.5" thickBot="1">
      <c r="A23" s="154"/>
      <c r="B23" s="158" t="s">
        <v>294</v>
      </c>
      <c r="C23" s="154"/>
      <c r="D23" s="154"/>
      <c r="E23" s="154"/>
      <c r="F23" s="155"/>
      <c r="G23" s="155"/>
      <c r="H23" s="388">
        <f>H22/20</f>
        <v>0.25</v>
      </c>
      <c r="I23" s="154" t="s">
        <v>295</v>
      </c>
      <c r="J23" s="154"/>
      <c r="K23" s="154"/>
      <c r="L23" s="154"/>
      <c r="M23" s="154"/>
      <c r="N23" s="154"/>
      <c r="O23" s="1"/>
      <c r="P23" s="503"/>
    </row>
    <row r="24" spans="1:24" ht="13.5" thickBot="1">
      <c r="A24" s="36" t="s">
        <v>296</v>
      </c>
      <c r="B24" s="154"/>
      <c r="C24" s="154"/>
      <c r="D24" s="154"/>
      <c r="E24" s="154"/>
      <c r="F24" s="155"/>
      <c r="G24" s="155"/>
      <c r="H24" s="104" t="s">
        <v>297</v>
      </c>
      <c r="I24" s="105"/>
      <c r="J24" s="105"/>
      <c r="K24" s="105"/>
      <c r="L24" s="105"/>
      <c r="M24" s="108" t="str">
        <f>IF(TGDL="N/A","N/A",IF(F14&lt;&gt;"Yes","Does Not Comply",IF(A88,"Does Not Comply", IF(A90,"Complies"," "))))</f>
        <v>Complies</v>
      </c>
      <c r="N24" s="103"/>
      <c r="O24" s="1"/>
      <c r="P24" s="503"/>
    </row>
    <row r="25" spans="1:24" ht="13.5" customHeight="1">
      <c r="A25" s="158" t="s">
        <v>298</v>
      </c>
      <c r="B25" s="115"/>
      <c r="C25" s="115"/>
      <c r="D25" s="115"/>
      <c r="E25" s="115"/>
      <c r="F25" s="386"/>
      <c r="G25" s="389">
        <f>IF(G14,H23,H19)</f>
        <v>0.25</v>
      </c>
      <c r="H25" s="115"/>
      <c r="I25" s="102"/>
      <c r="J25" s="102"/>
      <c r="K25" s="102"/>
      <c r="L25" s="102"/>
      <c r="M25" s="102"/>
      <c r="N25" s="102"/>
      <c r="O25" s="1"/>
      <c r="P25" s="503">
        <v>0.5</v>
      </c>
    </row>
    <row r="26" spans="1:24" ht="12.75" customHeight="1">
      <c r="A26" s="158" t="s">
        <v>299</v>
      </c>
      <c r="B26" s="158"/>
      <c r="C26" s="154"/>
      <c r="D26" s="154"/>
      <c r="E26" s="154"/>
      <c r="F26" s="387"/>
      <c r="G26" s="387">
        <f>H10+G25</f>
        <v>0.39337068160597571</v>
      </c>
      <c r="H26" s="154"/>
      <c r="I26" s="102"/>
      <c r="J26" s="102"/>
      <c r="K26" s="102"/>
      <c r="L26" s="102"/>
      <c r="M26" s="102"/>
      <c r="N26" s="102"/>
      <c r="O26" s="1"/>
      <c r="P26" s="504">
        <f>P10+P25</f>
        <v>0.76786492374727666</v>
      </c>
    </row>
    <row r="27" spans="1:24" ht="13">
      <c r="A27" s="115"/>
      <c r="B27" s="115"/>
      <c r="C27" s="115"/>
      <c r="D27" s="115"/>
      <c r="E27" s="115"/>
      <c r="F27" s="386"/>
      <c r="G27" s="386"/>
      <c r="H27" s="154"/>
      <c r="I27" s="102"/>
      <c r="J27" s="102"/>
      <c r="K27" s="102"/>
      <c r="L27" s="102"/>
      <c r="M27" s="102"/>
      <c r="N27" s="102"/>
      <c r="O27" s="1"/>
      <c r="P27" s="503"/>
    </row>
    <row r="28" spans="1:24" ht="13">
      <c r="A28" s="154" t="s">
        <v>300</v>
      </c>
      <c r="B28" s="154"/>
      <c r="C28" s="154"/>
      <c r="D28" s="154"/>
      <c r="E28" s="154"/>
      <c r="F28" s="386"/>
      <c r="G28" s="382">
        <v>2</v>
      </c>
      <c r="H28" s="158" t="s">
        <v>301</v>
      </c>
      <c r="I28" s="154"/>
      <c r="J28" s="115"/>
      <c r="K28" s="154"/>
      <c r="L28" s="154"/>
      <c r="M28" s="154"/>
      <c r="N28" s="154"/>
      <c r="O28" s="1"/>
      <c r="P28" s="503">
        <v>2</v>
      </c>
      <c r="X28" s="115"/>
    </row>
    <row r="29" spans="1:24" ht="13">
      <c r="A29" s="154" t="s">
        <v>302</v>
      </c>
      <c r="B29" s="154"/>
      <c r="C29" s="154"/>
      <c r="D29" s="154"/>
      <c r="E29" s="154"/>
      <c r="F29" s="386"/>
      <c r="G29" s="387">
        <f>G26*(1-G28*0.075)</f>
        <v>0.33436507936507937</v>
      </c>
      <c r="H29" s="155"/>
      <c r="I29" s="154"/>
      <c r="J29" s="154"/>
      <c r="K29" s="154"/>
      <c r="L29" s="154"/>
      <c r="M29" s="154"/>
      <c r="N29" s="154"/>
      <c r="O29" s="1"/>
      <c r="P29" s="504">
        <f>P26*(1-P28*0.075)</f>
        <v>0.65268518518518515</v>
      </c>
      <c r="R29" s="363" t="s">
        <v>206</v>
      </c>
      <c r="W29" t="s">
        <v>206</v>
      </c>
    </row>
    <row r="30" spans="1:24" ht="13">
      <c r="A30" s="154"/>
      <c r="B30" s="154"/>
      <c r="C30" s="154"/>
      <c r="D30" s="154"/>
      <c r="E30" s="154"/>
      <c r="F30" s="386"/>
      <c r="G30" s="155"/>
      <c r="H30" s="387"/>
      <c r="I30" s="154"/>
      <c r="J30" s="154"/>
      <c r="K30" s="154"/>
      <c r="L30" s="154"/>
      <c r="M30" s="154"/>
      <c r="N30" s="154"/>
      <c r="O30" s="1"/>
      <c r="P30" s="503"/>
    </row>
    <row r="31" spans="1:24" ht="13">
      <c r="A31" s="9" t="s">
        <v>303</v>
      </c>
      <c r="B31" s="9"/>
      <c r="C31" s="154"/>
      <c r="D31" s="685" t="s">
        <v>304</v>
      </c>
      <c r="E31" s="686"/>
      <c r="F31" s="686"/>
      <c r="G31" s="686"/>
      <c r="H31" s="686"/>
      <c r="I31" s="686"/>
      <c r="J31" s="386" t="s">
        <v>305</v>
      </c>
      <c r="K31" s="155">
        <f>VLOOKUP(D31,A54:G61,7,FALSE)</f>
        <v>1</v>
      </c>
      <c r="L31" s="115"/>
      <c r="M31" s="154"/>
      <c r="N31" s="154"/>
      <c r="O31" s="1"/>
      <c r="P31" s="503">
        <v>1</v>
      </c>
    </row>
    <row r="32" spans="1:24" ht="13">
      <c r="A32" s="154" t="s">
        <v>306</v>
      </c>
      <c r="B32" s="9"/>
      <c r="C32" s="9"/>
      <c r="D32" s="9"/>
      <c r="E32" s="9"/>
      <c r="F32" s="9"/>
      <c r="G32" s="384">
        <v>0</v>
      </c>
      <c r="H32" s="154" t="s">
        <v>307</v>
      </c>
      <c r="I32" s="9"/>
      <c r="J32" s="9"/>
      <c r="K32" s="155"/>
      <c r="L32" s="115"/>
      <c r="M32" s="154"/>
      <c r="N32" s="154"/>
      <c r="O32" s="1"/>
      <c r="P32" s="503"/>
    </row>
    <row r="33" spans="1:22" ht="13">
      <c r="A33" s="154" t="s">
        <v>308</v>
      </c>
      <c r="B33" s="154"/>
      <c r="C33" s="154"/>
      <c r="D33" s="154"/>
      <c r="E33" s="154"/>
      <c r="F33" s="115"/>
      <c r="G33" s="387">
        <f>VLOOKUP(K31,$G$54:$H$61,2,FALSE)</f>
        <v>0.55590000314940791</v>
      </c>
      <c r="H33" s="388"/>
      <c r="I33" s="115"/>
      <c r="J33" s="115"/>
      <c r="K33" s="115"/>
      <c r="L33" s="162" t="s">
        <v>309</v>
      </c>
      <c r="M33" s="115" t="s">
        <v>310</v>
      </c>
      <c r="N33" s="365" t="str">
        <f>IF(K31=7,G32/(0.5*volume),"N/A")</f>
        <v>N/A</v>
      </c>
      <c r="O33" s="1"/>
      <c r="P33" s="504">
        <f>IF(P29&gt;1,P29,0.5+(P29^2)*0.5)</f>
        <v>0.71299897548010971</v>
      </c>
      <c r="V33" s="115" t="s">
        <v>206</v>
      </c>
    </row>
    <row r="34" spans="1:22" ht="13">
      <c r="A34" s="154" t="s">
        <v>311</v>
      </c>
      <c r="B34" s="154"/>
      <c r="C34" s="154"/>
      <c r="D34" s="154"/>
      <c r="E34" s="154"/>
      <c r="F34" s="115"/>
      <c r="G34" s="383">
        <f>0.33*G33*volume</f>
        <v>58.941521433928571</v>
      </c>
      <c r="H34" s="154"/>
      <c r="I34" s="115"/>
      <c r="J34" s="115"/>
      <c r="K34" s="115"/>
      <c r="L34" s="162" t="s">
        <v>312</v>
      </c>
      <c r="M34" s="115" t="s">
        <v>313</v>
      </c>
      <c r="N34" s="366" t="str">
        <f>IF(K31=7,HP!B29*365,"N/A")</f>
        <v>N/A</v>
      </c>
      <c r="O34" s="1"/>
      <c r="P34" s="505">
        <f>0.33*P33*volume</f>
        <v>75.598568371180562</v>
      </c>
    </row>
    <row r="35" spans="1:22" ht="13">
      <c r="A35" s="154"/>
      <c r="B35" s="154"/>
      <c r="C35" s="154"/>
      <c r="D35" s="154"/>
      <c r="E35" s="154"/>
      <c r="F35" s="115"/>
      <c r="G35" s="386"/>
      <c r="H35" s="154"/>
      <c r="I35" s="154"/>
      <c r="J35" s="115"/>
      <c r="K35" s="115"/>
      <c r="L35" s="162" t="s">
        <v>314</v>
      </c>
      <c r="M35" s="115" t="s">
        <v>315</v>
      </c>
      <c r="N35" s="365" t="str">
        <f>IF(K31=7,IF(N33&lt;1,1,((8760-N34)+(N33*N34))/8760),"N/A")</f>
        <v>N/A</v>
      </c>
      <c r="O35" s="1"/>
      <c r="P35" s="503"/>
    </row>
    <row r="36" spans="1:22" ht="13">
      <c r="A36" s="154" t="s">
        <v>316</v>
      </c>
      <c r="B36" s="154"/>
      <c r="C36" s="154"/>
      <c r="D36" s="154"/>
      <c r="E36" s="154"/>
      <c r="F36" s="115"/>
      <c r="G36" s="386"/>
      <c r="H36" s="154"/>
      <c r="I36" s="154"/>
      <c r="J36" s="115"/>
      <c r="K36" s="115"/>
      <c r="L36" s="115"/>
      <c r="M36" s="154"/>
      <c r="N36" s="154"/>
      <c r="O36" s="1"/>
      <c r="P36" s="503"/>
    </row>
    <row r="37" spans="1:22" ht="13">
      <c r="A37" s="154"/>
      <c r="B37" s="154" t="s">
        <v>317</v>
      </c>
      <c r="C37" s="154"/>
      <c r="D37" s="154"/>
      <c r="E37" s="154"/>
      <c r="F37" s="115"/>
      <c r="G37" s="386"/>
      <c r="H37" s="382" t="s">
        <v>245</v>
      </c>
      <c r="I37" s="155">
        <f>VLOOKUP(H37,$A$64:$B$66,2,FALSE)</f>
        <v>1</v>
      </c>
      <c r="J37" s="115"/>
      <c r="K37" s="115"/>
      <c r="L37" s="115"/>
      <c r="M37" s="154"/>
      <c r="N37" s="154"/>
      <c r="O37" s="1"/>
      <c r="P37" s="503"/>
    </row>
    <row r="38" spans="1:22" ht="13">
      <c r="A38" s="154"/>
      <c r="B38" s="154" t="s">
        <v>318</v>
      </c>
      <c r="C38" s="115"/>
      <c r="D38" s="115"/>
      <c r="E38" s="115"/>
      <c r="F38" s="115"/>
      <c r="G38" s="115"/>
      <c r="H38" s="115"/>
      <c r="I38" s="154"/>
      <c r="J38" s="115"/>
      <c r="K38" s="115"/>
      <c r="L38" s="115"/>
      <c r="M38" s="154"/>
      <c r="N38" s="154"/>
      <c r="O38" s="1"/>
      <c r="P38" s="503"/>
    </row>
    <row r="39" spans="1:22" ht="13">
      <c r="A39" s="154"/>
      <c r="B39" s="154"/>
      <c r="C39" s="154" t="s">
        <v>319</v>
      </c>
      <c r="D39" s="154"/>
      <c r="E39" s="154"/>
      <c r="F39" s="115"/>
      <c r="G39" s="386"/>
      <c r="H39" s="384"/>
      <c r="I39" s="154"/>
      <c r="J39" s="115"/>
      <c r="K39" s="115"/>
      <c r="L39" s="115"/>
      <c r="M39" s="154"/>
      <c r="N39" s="154"/>
      <c r="O39" s="1"/>
      <c r="P39" s="503"/>
    </row>
    <row r="40" spans="1:22" ht="13">
      <c r="A40" s="115"/>
      <c r="B40" s="154"/>
      <c r="C40" s="191" t="s">
        <v>320</v>
      </c>
      <c r="D40" s="154"/>
      <c r="E40" s="154"/>
      <c r="F40" s="115"/>
      <c r="G40" s="386"/>
      <c r="H40" s="384"/>
      <c r="I40" s="154" t="s">
        <v>321</v>
      </c>
      <c r="J40" s="115" t="s">
        <v>322</v>
      </c>
      <c r="K40" s="115"/>
      <c r="L40" s="115"/>
      <c r="M40" s="154"/>
      <c r="N40" s="154"/>
      <c r="O40" s="1"/>
      <c r="P40" s="503"/>
    </row>
    <row r="41" spans="1:22" ht="13">
      <c r="A41" s="115"/>
      <c r="B41" s="154"/>
      <c r="C41" s="154" t="s">
        <v>323</v>
      </c>
      <c r="D41" s="154"/>
      <c r="E41" s="154"/>
      <c r="F41" s="115"/>
      <c r="G41" s="386"/>
      <c r="H41" s="390">
        <v>0.2</v>
      </c>
      <c r="I41" s="391">
        <f>VLOOKUP(K31,$G$54:$I$61,3,FALSE)</f>
        <v>0</v>
      </c>
      <c r="J41" s="349">
        <f>IF(I37,H41,I41)</f>
        <v>0.2</v>
      </c>
      <c r="K41" s="115"/>
      <c r="L41" s="115"/>
      <c r="M41" s="154"/>
      <c r="N41" s="154"/>
      <c r="O41" s="1"/>
      <c r="P41" s="503"/>
    </row>
    <row r="42" spans="1:22" ht="13">
      <c r="A42" s="115"/>
      <c r="B42" s="154"/>
      <c r="C42" s="154" t="s">
        <v>324</v>
      </c>
      <c r="D42" s="154"/>
      <c r="E42" s="154"/>
      <c r="F42" s="115"/>
      <c r="G42" s="386"/>
      <c r="H42" s="162"/>
      <c r="I42" s="391"/>
      <c r="J42" s="349"/>
      <c r="K42" s="115"/>
      <c r="L42" s="115"/>
      <c r="M42" s="154"/>
      <c r="N42" s="154"/>
      <c r="O42" s="1"/>
      <c r="P42" s="503"/>
    </row>
    <row r="43" spans="1:22" ht="13">
      <c r="A43" s="115"/>
      <c r="B43" s="154"/>
      <c r="C43" s="115"/>
      <c r="D43" s="154" t="s">
        <v>325</v>
      </c>
      <c r="E43" s="154"/>
      <c r="F43" s="115"/>
      <c r="G43" s="386"/>
      <c r="H43" s="384">
        <v>0</v>
      </c>
      <c r="I43" s="154">
        <f>IF(K31=6,66,0)</f>
        <v>0</v>
      </c>
      <c r="J43" s="392">
        <f>IF(I37,H43,I43)*I46</f>
        <v>0</v>
      </c>
      <c r="K43" s="115"/>
      <c r="L43" s="115"/>
      <c r="M43" s="154"/>
      <c r="N43" s="154"/>
      <c r="O43" s="1"/>
      <c r="P43" s="503"/>
    </row>
    <row r="44" spans="1:22" ht="13">
      <c r="A44" s="115"/>
      <c r="B44" s="154"/>
      <c r="C44" s="115" t="s">
        <v>326</v>
      </c>
      <c r="D44" s="115"/>
      <c r="E44" s="115"/>
      <c r="F44" s="115"/>
      <c r="G44" s="115"/>
      <c r="H44" s="115"/>
      <c r="I44" s="154"/>
      <c r="J44" s="349"/>
      <c r="K44" s="115"/>
      <c r="L44" s="115"/>
      <c r="M44" s="154"/>
      <c r="N44" s="154"/>
      <c r="O44" s="1"/>
      <c r="P44" s="503"/>
    </row>
    <row r="45" spans="1:22" ht="13">
      <c r="A45" s="115"/>
      <c r="B45" s="154" t="s">
        <v>326</v>
      </c>
      <c r="C45" s="115"/>
      <c r="D45" s="115"/>
      <c r="E45" s="115"/>
      <c r="F45" s="115"/>
      <c r="G45" s="115"/>
      <c r="H45" s="115"/>
      <c r="I45" s="154" t="s">
        <v>327</v>
      </c>
      <c r="J45" s="349"/>
      <c r="K45" s="115"/>
      <c r="L45" s="115"/>
      <c r="M45" s="154"/>
      <c r="N45" s="154"/>
      <c r="O45" s="1"/>
      <c r="P45" s="503"/>
    </row>
    <row r="46" spans="1:22" ht="13">
      <c r="A46" s="115"/>
      <c r="B46" s="154" t="s">
        <v>328</v>
      </c>
      <c r="C46" s="115"/>
      <c r="D46" s="115"/>
      <c r="E46" s="115"/>
      <c r="F46" s="115"/>
      <c r="G46" s="382" t="s">
        <v>329</v>
      </c>
      <c r="H46" s="155">
        <f>VLOOKUP(G46,$A$64:$B$66,2,FALSE)</f>
        <v>1</v>
      </c>
      <c r="I46" s="154">
        <f>IF(H46,1,0.85)</f>
        <v>1</v>
      </c>
      <c r="J46" s="349"/>
      <c r="K46" s="115"/>
      <c r="L46" s="115"/>
      <c r="M46" s="154"/>
      <c r="N46" s="154"/>
      <c r="O46" s="1"/>
      <c r="P46" s="503"/>
    </row>
    <row r="47" spans="1:22" ht="13">
      <c r="A47" s="115"/>
      <c r="B47" s="154" t="s">
        <v>330</v>
      </c>
      <c r="C47" s="115"/>
      <c r="D47" s="115"/>
      <c r="E47" s="115"/>
      <c r="F47" s="115"/>
      <c r="G47" s="393">
        <f>IF(K31&gt;=3,IF(K31=7,J41*volume*G33*(8760)/3600,J41*1.22*volume),0)</f>
        <v>0</v>
      </c>
      <c r="H47" s="394"/>
      <c r="I47" s="154"/>
      <c r="J47" s="115"/>
      <c r="K47" s="115"/>
      <c r="L47" s="115"/>
      <c r="M47" s="154"/>
      <c r="N47" s="154"/>
      <c r="O47" s="1"/>
      <c r="P47" s="503"/>
    </row>
    <row r="48" spans="1:22" ht="13">
      <c r="A48" s="115"/>
      <c r="B48" s="154" t="s">
        <v>331</v>
      </c>
      <c r="C48" s="154"/>
      <c r="D48" s="154"/>
      <c r="E48" s="154"/>
      <c r="F48" s="154"/>
      <c r="G48" s="383">
        <f>IF(OR(K31=5,K31=6),J41*0.06*volume,0)</f>
        <v>0</v>
      </c>
      <c r="H48" s="154"/>
      <c r="I48" s="154"/>
      <c r="J48" s="115"/>
      <c r="K48" s="115"/>
      <c r="L48" s="115"/>
      <c r="M48" s="154"/>
      <c r="N48" s="154"/>
      <c r="O48" s="1"/>
      <c r="P48" s="503"/>
      <c r="R48" s="363" t="s">
        <v>206</v>
      </c>
    </row>
    <row r="49" spans="1:18" ht="13">
      <c r="A49" s="154" t="s">
        <v>326</v>
      </c>
      <c r="B49" s="154"/>
      <c r="C49" s="154"/>
      <c r="D49" s="154"/>
      <c r="E49" s="154"/>
      <c r="F49" s="154"/>
      <c r="G49" s="154"/>
      <c r="H49" s="154"/>
      <c r="I49" s="154"/>
      <c r="J49" s="154"/>
      <c r="K49" s="154"/>
      <c r="L49" s="154"/>
      <c r="M49" s="154"/>
      <c r="N49" s="154"/>
      <c r="O49" s="1"/>
      <c r="P49" s="503"/>
    </row>
    <row r="51" spans="1:18" ht="13">
      <c r="A51" s="3" t="s">
        <v>225</v>
      </c>
      <c r="B51" s="115"/>
      <c r="C51" s="115"/>
      <c r="D51" s="115"/>
      <c r="E51" s="115"/>
      <c r="F51" s="115"/>
      <c r="G51" s="115"/>
      <c r="H51" s="115"/>
      <c r="I51" s="115"/>
      <c r="J51" s="115"/>
      <c r="K51" s="115"/>
      <c r="L51" s="115"/>
      <c r="M51" s="115"/>
      <c r="N51" s="115"/>
    </row>
    <row r="52" spans="1:18" ht="13">
      <c r="A52" s="3" t="s">
        <v>332</v>
      </c>
      <c r="B52" s="115"/>
      <c r="C52" s="115"/>
      <c r="D52" s="115"/>
      <c r="E52" s="115"/>
      <c r="F52" s="115"/>
      <c r="G52" s="115" t="s">
        <v>305</v>
      </c>
      <c r="H52" s="154" t="s">
        <v>333</v>
      </c>
      <c r="I52" s="115" t="s">
        <v>334</v>
      </c>
      <c r="J52" s="115"/>
      <c r="K52" s="115"/>
      <c r="L52" s="154"/>
      <c r="M52" s="115"/>
      <c r="N52" s="154"/>
      <c r="O52" s="1"/>
    </row>
    <row r="53" spans="1:18" ht="13">
      <c r="A53" s="115"/>
      <c r="B53" s="115"/>
      <c r="C53" s="115"/>
      <c r="D53" s="115"/>
      <c r="E53" s="115"/>
      <c r="F53" s="115"/>
      <c r="G53" s="115"/>
      <c r="H53" s="115" t="s">
        <v>273</v>
      </c>
      <c r="I53" s="115" t="s">
        <v>335</v>
      </c>
      <c r="J53" s="115"/>
      <c r="K53" s="115"/>
      <c r="L53" s="154"/>
      <c r="M53" s="115"/>
      <c r="N53" s="154"/>
      <c r="O53" s="1"/>
    </row>
    <row r="54" spans="1:18" ht="13">
      <c r="A54" s="115" t="s">
        <v>304</v>
      </c>
      <c r="B54" s="115"/>
      <c r="C54" s="115"/>
      <c r="D54" s="115"/>
      <c r="E54" s="115"/>
      <c r="F54" s="115"/>
      <c r="G54" s="115">
        <v>1</v>
      </c>
      <c r="H54" s="388">
        <f>IF(G29&gt;1,G29,0.5+(G29^2)*0.5)</f>
        <v>0.55590000314940791</v>
      </c>
      <c r="I54" s="115">
        <v>0</v>
      </c>
      <c r="J54" s="115"/>
      <c r="K54" s="115"/>
      <c r="L54" s="154"/>
      <c r="M54" s="115"/>
      <c r="N54" s="115"/>
      <c r="O54" s="1"/>
    </row>
    <row r="55" spans="1:18" ht="13">
      <c r="A55" s="115" t="s">
        <v>336</v>
      </c>
      <c r="B55" s="115"/>
      <c r="C55" s="115"/>
      <c r="D55" s="115"/>
      <c r="E55" s="115"/>
      <c r="F55" s="115"/>
      <c r="G55" s="115">
        <v>2</v>
      </c>
      <c r="H55" s="349">
        <f>H54+20/volume</f>
        <v>0.61814712422005835</v>
      </c>
      <c r="I55" s="115">
        <v>0</v>
      </c>
      <c r="J55" s="115"/>
      <c r="K55" s="115"/>
      <c r="L55" s="115"/>
      <c r="M55" s="115"/>
      <c r="N55" s="115"/>
      <c r="O55" s="1"/>
      <c r="R55" s="363" t="s">
        <v>206</v>
      </c>
    </row>
    <row r="56" spans="1:18" ht="13">
      <c r="A56" s="115" t="s">
        <v>337</v>
      </c>
      <c r="B56" s="115"/>
      <c r="C56" s="115"/>
      <c r="D56" s="115"/>
      <c r="E56" s="115"/>
      <c r="F56" s="115"/>
      <c r="G56" s="115">
        <v>3</v>
      </c>
      <c r="H56" s="349">
        <f>H57</f>
        <v>0.58436507936507942</v>
      </c>
      <c r="I56" s="115">
        <v>0.8</v>
      </c>
      <c r="J56" s="392"/>
      <c r="K56" s="115"/>
      <c r="L56" s="154"/>
      <c r="M56" s="115"/>
      <c r="N56" s="115"/>
      <c r="O56" s="1"/>
    </row>
    <row r="57" spans="1:18" ht="13">
      <c r="A57" s="115" t="s">
        <v>338</v>
      </c>
      <c r="B57" s="115"/>
      <c r="C57" s="115"/>
      <c r="D57" s="115"/>
      <c r="E57" s="115"/>
      <c r="F57" s="115"/>
      <c r="G57" s="115">
        <v>4</v>
      </c>
      <c r="H57" s="388">
        <f>MAX(0.5,G29+0.25)</f>
        <v>0.58436507936507942</v>
      </c>
      <c r="I57" s="115">
        <v>0.8</v>
      </c>
      <c r="J57" s="392"/>
      <c r="K57" s="115"/>
      <c r="L57" s="154"/>
      <c r="M57" s="115"/>
      <c r="N57" s="115"/>
      <c r="O57" s="1"/>
    </row>
    <row r="58" spans="1:18">
      <c r="A58" s="154" t="s">
        <v>339</v>
      </c>
      <c r="B58" s="115"/>
      <c r="C58" s="115"/>
      <c r="D58" s="115"/>
      <c r="E58" s="115"/>
      <c r="F58" s="115"/>
      <c r="G58" s="115">
        <v>5</v>
      </c>
      <c r="H58" s="388">
        <f>G29+0.5</f>
        <v>0.83436507936507942</v>
      </c>
      <c r="I58" s="114">
        <v>2</v>
      </c>
      <c r="J58" s="392"/>
      <c r="K58" s="392"/>
      <c r="L58" s="392"/>
      <c r="M58" s="115"/>
      <c r="N58" s="115"/>
    </row>
    <row r="59" spans="1:18">
      <c r="A59" s="154" t="s">
        <v>340</v>
      </c>
      <c r="B59" s="115"/>
      <c r="C59" s="115"/>
      <c r="D59" s="115"/>
      <c r="E59" s="115"/>
      <c r="F59" s="115"/>
      <c r="G59" s="115">
        <v>6</v>
      </c>
      <c r="H59" s="388">
        <f>G29+0.5*(1-J43/100)</f>
        <v>0.83436507936507942</v>
      </c>
      <c r="I59" s="114">
        <v>2</v>
      </c>
      <c r="J59" s="392"/>
      <c r="K59" s="392"/>
      <c r="L59" s="115"/>
      <c r="M59" s="115"/>
      <c r="N59" s="115"/>
    </row>
    <row r="60" spans="1:18">
      <c r="A60" s="154" t="s">
        <v>341</v>
      </c>
      <c r="B60" s="115"/>
      <c r="C60" s="115"/>
      <c r="D60" s="115"/>
      <c r="E60" s="115"/>
      <c r="F60" s="115"/>
      <c r="G60" s="115">
        <v>7</v>
      </c>
      <c r="H60" s="388">
        <f>IFERROR(MAX(0.5,G29+0.5*(0.5*N35)),0)</f>
        <v>0</v>
      </c>
      <c r="I60" s="349">
        <v>0.26</v>
      </c>
      <c r="J60" s="392"/>
      <c r="K60" s="392"/>
      <c r="L60" s="115"/>
      <c r="M60" s="115"/>
      <c r="N60" s="115"/>
    </row>
    <row r="61" spans="1:18">
      <c r="A61" s="154" t="s">
        <v>250</v>
      </c>
      <c r="B61" s="115"/>
      <c r="C61" s="115"/>
      <c r="D61" s="115"/>
      <c r="E61" s="115"/>
      <c r="F61" s="115"/>
      <c r="G61" s="115" t="s">
        <v>250</v>
      </c>
      <c r="H61" s="388">
        <v>0</v>
      </c>
      <c r="I61" s="114">
        <v>0</v>
      </c>
      <c r="J61" s="392"/>
      <c r="K61" s="392"/>
      <c r="L61" s="115"/>
      <c r="M61" s="115"/>
      <c r="N61" s="115"/>
    </row>
    <row r="63" spans="1:18" ht="13">
      <c r="A63" s="3" t="s">
        <v>342</v>
      </c>
      <c r="B63" s="115"/>
      <c r="C63" s="115"/>
      <c r="D63" s="115"/>
      <c r="E63" s="115"/>
      <c r="F63" s="115"/>
      <c r="G63" s="115"/>
      <c r="H63" s="115"/>
      <c r="I63" s="115"/>
      <c r="J63" s="115"/>
      <c r="K63" s="115"/>
      <c r="L63" s="115"/>
      <c r="M63" s="115"/>
      <c r="N63" s="115"/>
    </row>
    <row r="64" spans="1:18">
      <c r="A64" s="115" t="s">
        <v>245</v>
      </c>
      <c r="B64" s="115">
        <v>1</v>
      </c>
      <c r="C64" s="115"/>
      <c r="D64" s="115"/>
      <c r="E64" s="115"/>
      <c r="F64" s="115"/>
      <c r="G64" s="115"/>
      <c r="H64" s="115"/>
      <c r="I64" s="115"/>
      <c r="J64" s="115"/>
      <c r="K64" s="115"/>
      <c r="L64" s="115"/>
      <c r="M64" s="115"/>
      <c r="N64" s="115"/>
    </row>
    <row r="65" spans="1:3">
      <c r="A65" s="115" t="s">
        <v>246</v>
      </c>
      <c r="B65" s="115">
        <v>0</v>
      </c>
      <c r="C65" s="115"/>
    </row>
    <row r="66" spans="1:3">
      <c r="A66" s="115" t="s">
        <v>329</v>
      </c>
      <c r="B66" s="115">
        <v>1</v>
      </c>
      <c r="C66" s="115"/>
    </row>
    <row r="68" spans="1:3" ht="13">
      <c r="A68" s="8" t="s">
        <v>343</v>
      </c>
      <c r="B68" s="115"/>
      <c r="C68" s="115"/>
    </row>
    <row r="69" spans="1:3">
      <c r="A69" s="115" t="s">
        <v>286</v>
      </c>
      <c r="B69" s="115"/>
      <c r="C69" s="349">
        <v>0.35</v>
      </c>
    </row>
    <row r="70" spans="1:3">
      <c r="A70" s="115" t="s">
        <v>344</v>
      </c>
      <c r="B70" s="115"/>
      <c r="C70" s="349">
        <v>0.25</v>
      </c>
    </row>
    <row r="71" spans="1:3">
      <c r="A71" s="115" t="s">
        <v>250</v>
      </c>
      <c r="B71" s="115"/>
      <c r="C71" s="349">
        <v>0</v>
      </c>
    </row>
    <row r="73" spans="1:3">
      <c r="A73" s="115" t="s">
        <v>345</v>
      </c>
      <c r="B73" s="115"/>
      <c r="C73" s="115"/>
    </row>
    <row r="74" spans="1:3">
      <c r="A74" s="115" t="s">
        <v>145</v>
      </c>
      <c r="B74" s="115"/>
      <c r="C74" s="115">
        <v>0</v>
      </c>
    </row>
    <row r="75" spans="1:3">
      <c r="A75" s="115" t="s">
        <v>346</v>
      </c>
      <c r="B75" s="115"/>
      <c r="C75" s="115">
        <v>0.1</v>
      </c>
    </row>
    <row r="76" spans="1:3">
      <c r="A76" s="115" t="s">
        <v>347</v>
      </c>
      <c r="B76" s="115"/>
      <c r="C76" s="115">
        <v>0.2</v>
      </c>
    </row>
    <row r="77" spans="1:3">
      <c r="A77" s="115" t="s">
        <v>250</v>
      </c>
      <c r="B77" s="115"/>
      <c r="C77" s="115">
        <v>0</v>
      </c>
    </row>
    <row r="79" spans="1:3" ht="13">
      <c r="A79" s="3" t="s">
        <v>348</v>
      </c>
      <c r="B79" s="115"/>
      <c r="C79" s="115"/>
    </row>
    <row r="80" spans="1:3">
      <c r="A80" s="115" t="b">
        <f>AND(TGDL=2011,$G$14,$H$23&lt;=0.35)</f>
        <v>0</v>
      </c>
      <c r="B80" s="115"/>
      <c r="C80" s="115"/>
    </row>
    <row r="81" spans="1:1" ht="13">
      <c r="A81" s="3" t="s">
        <v>349</v>
      </c>
    </row>
    <row r="82" spans="1:1">
      <c r="A82" s="115" t="b">
        <f>AND(TGDL=2011,$G$14,$H$23&gt;0.35)</f>
        <v>0</v>
      </c>
    </row>
    <row r="83" spans="1:1" ht="13">
      <c r="A83" s="3" t="s">
        <v>350</v>
      </c>
    </row>
    <row r="84" spans="1:1">
      <c r="A84" s="115" t="b">
        <f>AND(TGDL=2019,$G$14,$H$23&lt;=0.25)</f>
        <v>1</v>
      </c>
    </row>
    <row r="85" spans="1:1" ht="13">
      <c r="A85" s="3" t="s">
        <v>351</v>
      </c>
    </row>
    <row r="86" spans="1:1">
      <c r="A86" s="115" t="b">
        <f>AND(TGDL=2019,$G$14,$H$23&gt;0.25)</f>
        <v>0</v>
      </c>
    </row>
    <row r="87" spans="1:1" ht="13">
      <c r="A87" s="3" t="s">
        <v>352</v>
      </c>
    </row>
    <row r="88" spans="1:1">
      <c r="A88" s="115" t="b">
        <f>OR(A82,A86)</f>
        <v>0</v>
      </c>
    </row>
    <row r="89" spans="1:1" ht="13">
      <c r="A89" s="3" t="s">
        <v>353</v>
      </c>
    </row>
    <row r="90" spans="1:1">
      <c r="A90" s="115" t="b">
        <f>OR(A84,A80)</f>
        <v>1</v>
      </c>
    </row>
  </sheetData>
  <sheetProtection algorithmName="SHA-512" hashValue="avvhmp0A3iNP+syfWbogWTIsXhdr7ngNX+xOD4xCFoKdjTH5DQKTb9zFX7UnRZSUJ2/5/xxGKV20OZquBcDfDw==" saltValue="Cf2X9YuzeRkRYA7JPxHdqQ=="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zoomScale="115" zoomScaleNormal="115" workbookViewId="0">
      <selection activeCell="E13" sqref="E13:G13"/>
    </sheetView>
  </sheetViews>
  <sheetFormatPr defaultRowHeight="12.5"/>
  <cols>
    <col min="1" max="1" width="19.1796875" style="7" customWidth="1"/>
    <col min="2" max="6" width="9.1796875" style="7"/>
    <col min="7" max="7" width="9.453125" style="7" bestFit="1" customWidth="1"/>
    <col min="8" max="14" width="9.1796875" style="7"/>
    <col min="15" max="15" width="9.1796875" style="7" customWidth="1"/>
    <col min="16" max="16" width="9.1796875" style="506" customWidth="1"/>
    <col min="17" max="17" width="9.1796875" style="7" customWidth="1"/>
    <col min="18" max="19" width="9.1796875" style="7"/>
  </cols>
  <sheetData>
    <row r="1" spans="1:19" s="1" customFormat="1" ht="18" customHeight="1">
      <c r="A1" s="12" t="s">
        <v>354</v>
      </c>
      <c r="B1" s="14"/>
      <c r="C1" s="381"/>
      <c r="D1" s="381"/>
      <c r="E1" s="381"/>
      <c r="F1" s="15"/>
      <c r="G1" s="15"/>
      <c r="H1" s="381"/>
      <c r="I1" s="381"/>
      <c r="J1" s="381"/>
      <c r="K1" s="381"/>
      <c r="L1" s="381"/>
      <c r="M1" s="381"/>
      <c r="N1" s="11"/>
      <c r="P1" s="503" t="s">
        <v>270</v>
      </c>
    </row>
    <row r="2" spans="1:19" s="1" customFormat="1" ht="13">
      <c r="A2" s="154" t="s">
        <v>355</v>
      </c>
      <c r="B2" s="154"/>
      <c r="C2" s="154"/>
      <c r="D2" s="154"/>
      <c r="E2" s="154"/>
      <c r="F2" s="154"/>
      <c r="G2" s="154"/>
      <c r="H2" s="154"/>
      <c r="I2" s="154"/>
      <c r="J2" s="154"/>
      <c r="K2" s="154"/>
      <c r="L2" s="154"/>
      <c r="M2" s="154"/>
      <c r="N2" s="154"/>
      <c r="O2" s="154"/>
      <c r="P2" s="503"/>
      <c r="Q2" s="154"/>
      <c r="R2" s="154"/>
      <c r="S2" s="154"/>
    </row>
    <row r="3" spans="1:19" s="1" customFormat="1" ht="13">
      <c r="A3" s="154"/>
      <c r="B3" s="154"/>
      <c r="E3" s="155"/>
      <c r="F3" s="155"/>
      <c r="G3" s="155"/>
      <c r="H3" s="155"/>
      <c r="I3" s="155"/>
      <c r="J3" s="155"/>
      <c r="K3" s="155"/>
      <c r="L3" s="155"/>
      <c r="M3" s="155"/>
      <c r="N3" s="154" t="s">
        <v>356</v>
      </c>
      <c r="O3" s="154"/>
      <c r="P3" s="503"/>
      <c r="Q3" s="154"/>
      <c r="R3" s="154"/>
      <c r="S3" s="154"/>
    </row>
    <row r="4" spans="1:19" s="1" customFormat="1" ht="13">
      <c r="A4" s="154" t="s">
        <v>357</v>
      </c>
      <c r="B4" s="154"/>
      <c r="E4" s="382" t="s">
        <v>358</v>
      </c>
      <c r="F4" s="382" t="s">
        <v>359</v>
      </c>
      <c r="G4" s="382" t="s">
        <v>360</v>
      </c>
      <c r="H4" s="382" t="s">
        <v>361</v>
      </c>
      <c r="I4" s="382" t="s">
        <v>359</v>
      </c>
      <c r="J4" s="382" t="s">
        <v>360</v>
      </c>
      <c r="K4" s="382" t="s">
        <v>360</v>
      </c>
      <c r="L4" s="382" t="s">
        <v>360</v>
      </c>
      <c r="M4" s="382" t="s">
        <v>362</v>
      </c>
      <c r="N4" s="154"/>
      <c r="O4" s="154"/>
      <c r="P4" s="503"/>
      <c r="Q4" s="154"/>
      <c r="R4" s="154"/>
      <c r="S4" s="154"/>
    </row>
    <row r="5" spans="1:19" s="1" customFormat="1" ht="13">
      <c r="A5" s="154" t="s">
        <v>363</v>
      </c>
      <c r="B5" s="154"/>
      <c r="E5" s="155">
        <f>VLOOKUP(E4,$A$33:$B$38,2,FALSE)</f>
        <v>3</v>
      </c>
      <c r="F5" s="155">
        <f t="shared" ref="F5:M5" si="0">VLOOKUP(F4,$A$33:$B$38,2,FALSE)</f>
        <v>5</v>
      </c>
      <c r="G5" s="155">
        <f t="shared" si="0"/>
        <v>1</v>
      </c>
      <c r="H5" s="155">
        <f t="shared" si="0"/>
        <v>4</v>
      </c>
      <c r="I5" s="155">
        <f t="shared" si="0"/>
        <v>5</v>
      </c>
      <c r="J5" s="155">
        <f t="shared" si="0"/>
        <v>1</v>
      </c>
      <c r="K5" s="155">
        <f t="shared" si="0"/>
        <v>1</v>
      </c>
      <c r="L5" s="155">
        <f t="shared" si="0"/>
        <v>1</v>
      </c>
      <c r="M5" s="155">
        <f t="shared" si="0"/>
        <v>6</v>
      </c>
      <c r="N5" s="155"/>
      <c r="O5" s="154"/>
      <c r="P5" s="503"/>
      <c r="Q5" s="154"/>
      <c r="R5" s="154"/>
      <c r="S5" s="154"/>
    </row>
    <row r="6" spans="1:19" s="1" customFormat="1" ht="15">
      <c r="A6" s="154" t="s">
        <v>364</v>
      </c>
      <c r="B6" s="154"/>
      <c r="E6" s="662">
        <v>28.7</v>
      </c>
      <c r="F6" s="662">
        <v>0</v>
      </c>
      <c r="G6" s="662">
        <v>0.9</v>
      </c>
      <c r="H6" s="382"/>
      <c r="I6" s="382"/>
      <c r="J6" s="382"/>
      <c r="K6" s="382"/>
      <c r="L6" s="382"/>
      <c r="M6" s="382"/>
      <c r="N6" s="395">
        <f>SUM(E6:M6)</f>
        <v>29.599999999999998</v>
      </c>
      <c r="O6" s="154"/>
      <c r="P6" s="504">
        <f>MIN(0.25*tfa,Fab!G81)-1.85</f>
        <v>29.65</v>
      </c>
      <c r="Q6" s="154"/>
      <c r="R6" s="154"/>
      <c r="S6" s="154"/>
    </row>
    <row r="7" spans="1:19" s="1" customFormat="1" ht="13">
      <c r="A7" s="154" t="s">
        <v>365</v>
      </c>
      <c r="B7" s="154"/>
      <c r="E7" s="382" t="s">
        <v>246</v>
      </c>
      <c r="F7" s="382" t="s">
        <v>246</v>
      </c>
      <c r="G7" s="382" t="s">
        <v>246</v>
      </c>
      <c r="H7" s="382" t="s">
        <v>250</v>
      </c>
      <c r="I7" s="382" t="s">
        <v>250</v>
      </c>
      <c r="J7" s="382" t="s">
        <v>250</v>
      </c>
      <c r="K7" s="382" t="s">
        <v>250</v>
      </c>
      <c r="L7" s="382" t="s">
        <v>250</v>
      </c>
      <c r="M7" s="382" t="s">
        <v>250</v>
      </c>
      <c r="N7" s="396"/>
      <c r="O7" s="154"/>
      <c r="P7" s="503"/>
      <c r="Q7" s="154"/>
      <c r="R7" s="154"/>
      <c r="S7" s="154"/>
    </row>
    <row r="8" spans="1:19" s="1" customFormat="1" ht="13">
      <c r="A8" s="9" t="s">
        <v>366</v>
      </c>
      <c r="B8" s="9"/>
      <c r="N8" s="396"/>
      <c r="O8" s="154"/>
      <c r="P8" s="503"/>
      <c r="Q8" s="154"/>
      <c r="R8" s="154"/>
      <c r="S8" s="154"/>
    </row>
    <row r="9" spans="1:19" s="1" customFormat="1" ht="15">
      <c r="A9" s="154" t="s">
        <v>367</v>
      </c>
      <c r="B9" s="154"/>
      <c r="E9" s="662">
        <v>0.9</v>
      </c>
      <c r="F9" s="662">
        <v>0.9</v>
      </c>
      <c r="G9" s="662">
        <v>0.9</v>
      </c>
      <c r="H9" s="382"/>
      <c r="I9" s="382"/>
      <c r="J9" s="382"/>
      <c r="K9" s="382"/>
      <c r="L9" s="382"/>
      <c r="M9" s="382"/>
      <c r="N9" s="157"/>
      <c r="O9" s="154"/>
      <c r="P9" s="503">
        <v>2.2000000000000002</v>
      </c>
      <c r="Q9" s="154"/>
      <c r="R9" s="154"/>
      <c r="S9" s="154"/>
    </row>
    <row r="10" spans="1:19" s="1" customFormat="1" ht="13">
      <c r="A10" s="154" t="s">
        <v>368</v>
      </c>
      <c r="B10" s="154"/>
      <c r="E10" s="382" t="s">
        <v>245</v>
      </c>
      <c r="F10" s="382" t="s">
        <v>245</v>
      </c>
      <c r="G10" s="382" t="s">
        <v>245</v>
      </c>
      <c r="H10" s="382" t="s">
        <v>250</v>
      </c>
      <c r="I10" s="382" t="s">
        <v>250</v>
      </c>
      <c r="J10" s="382" t="s">
        <v>250</v>
      </c>
      <c r="K10" s="382" t="s">
        <v>250</v>
      </c>
      <c r="L10" s="382" t="s">
        <v>250</v>
      </c>
      <c r="M10" s="382" t="s">
        <v>250</v>
      </c>
      <c r="N10" s="157"/>
      <c r="O10" s="154"/>
      <c r="P10" s="503"/>
      <c r="Q10" s="154"/>
      <c r="R10" s="154"/>
      <c r="S10" s="154"/>
    </row>
    <row r="11" spans="1:19" s="1" customFormat="1" ht="13">
      <c r="A11" s="36" t="s">
        <v>369</v>
      </c>
      <c r="B11" s="154"/>
      <c r="E11" s="397"/>
      <c r="F11" s="397"/>
      <c r="G11" s="397"/>
      <c r="H11" s="397"/>
      <c r="I11" s="397"/>
      <c r="J11" s="397"/>
      <c r="K11" s="397"/>
      <c r="L11" s="397"/>
      <c r="M11" s="397"/>
      <c r="N11" s="157"/>
      <c r="O11" s="154"/>
      <c r="P11" s="503"/>
      <c r="Q11" s="154"/>
      <c r="R11" s="154"/>
      <c r="S11" s="154"/>
    </row>
    <row r="12" spans="1:19" s="1" customFormat="1" ht="13">
      <c r="B12" s="154" t="s">
        <v>319</v>
      </c>
      <c r="E12" s="382"/>
      <c r="F12" s="382"/>
      <c r="G12" s="382"/>
      <c r="H12" s="382"/>
      <c r="I12" s="382"/>
      <c r="J12" s="382"/>
      <c r="K12" s="382"/>
      <c r="L12" s="382"/>
      <c r="M12" s="382"/>
      <c r="N12" s="155"/>
      <c r="O12" s="154"/>
      <c r="P12" s="503"/>
      <c r="Q12" s="154"/>
      <c r="R12" s="154"/>
      <c r="S12" s="154"/>
    </row>
    <row r="13" spans="1:19" s="1" customFormat="1" ht="13">
      <c r="A13" s="154"/>
      <c r="B13" s="154" t="s">
        <v>370</v>
      </c>
      <c r="E13" s="662">
        <v>0.6</v>
      </c>
      <c r="F13" s="662">
        <v>0.6</v>
      </c>
      <c r="G13" s="662">
        <v>0.6</v>
      </c>
      <c r="H13" s="382"/>
      <c r="I13" s="382"/>
      <c r="J13" s="382"/>
      <c r="K13" s="382"/>
      <c r="L13" s="382"/>
      <c r="M13" s="382"/>
      <c r="N13" s="155"/>
      <c r="O13" s="154"/>
      <c r="P13" s="503"/>
      <c r="Q13" s="154"/>
      <c r="R13" s="154"/>
      <c r="S13" s="154"/>
    </row>
    <row r="14" spans="1:19" s="1" customFormat="1" ht="13">
      <c r="A14" s="36" t="s">
        <v>326</v>
      </c>
      <c r="E14" s="397"/>
      <c r="F14" s="397"/>
      <c r="G14" s="397"/>
      <c r="H14" s="397"/>
      <c r="I14" s="397"/>
      <c r="J14" s="397"/>
      <c r="K14" s="397"/>
      <c r="L14" s="397"/>
      <c r="M14" s="397"/>
      <c r="N14" s="155"/>
      <c r="O14" s="154"/>
      <c r="P14" s="503"/>
      <c r="Q14" s="154"/>
      <c r="R14" s="154"/>
      <c r="S14" s="154"/>
    </row>
    <row r="15" spans="1:19" s="1" customFormat="1" ht="13">
      <c r="A15" s="154" t="s">
        <v>371</v>
      </c>
      <c r="B15" s="154"/>
      <c r="E15" s="42"/>
      <c r="F15" s="42"/>
      <c r="G15" s="42"/>
      <c r="H15" s="42"/>
      <c r="I15" s="42"/>
      <c r="J15" s="42"/>
      <c r="K15" s="42"/>
      <c r="L15" s="42"/>
      <c r="M15" s="42"/>
      <c r="N15" s="155"/>
      <c r="O15" s="154"/>
      <c r="P15" s="503"/>
      <c r="Q15" s="154"/>
      <c r="R15" s="154"/>
      <c r="S15" s="154"/>
    </row>
    <row r="16" spans="1:19" s="1" customFormat="1" ht="13">
      <c r="A16" s="154"/>
      <c r="B16" s="154"/>
      <c r="E16" s="382"/>
      <c r="F16" s="382"/>
      <c r="G16" s="382"/>
      <c r="H16" s="382"/>
      <c r="I16" s="382"/>
      <c r="J16" s="382"/>
      <c r="K16" s="382"/>
      <c r="L16" s="382"/>
      <c r="M16" s="382"/>
      <c r="N16" s="155"/>
      <c r="O16" s="154"/>
      <c r="P16" s="503"/>
      <c r="Q16" s="154"/>
      <c r="R16" s="154"/>
      <c r="S16" s="154"/>
    </row>
    <row r="17" spans="1:19" s="1" customFormat="1" ht="15">
      <c r="A17" s="154" t="s">
        <v>372</v>
      </c>
      <c r="B17" s="154"/>
      <c r="E17" s="155">
        <f t="shared" ref="E17:M17" si="1">E9+E16</f>
        <v>0.9</v>
      </c>
      <c r="F17" s="155">
        <f t="shared" si="1"/>
        <v>0.9</v>
      </c>
      <c r="G17" s="155">
        <f t="shared" si="1"/>
        <v>0.9</v>
      </c>
      <c r="H17" s="155">
        <f t="shared" si="1"/>
        <v>0</v>
      </c>
      <c r="I17" s="155">
        <f t="shared" si="1"/>
        <v>0</v>
      </c>
      <c r="J17" s="155">
        <f t="shared" si="1"/>
        <v>0</v>
      </c>
      <c r="K17" s="155">
        <f t="shared" si="1"/>
        <v>0</v>
      </c>
      <c r="L17" s="155">
        <f t="shared" si="1"/>
        <v>0</v>
      </c>
      <c r="M17" s="155">
        <f t="shared" si="1"/>
        <v>0</v>
      </c>
      <c r="N17" s="396">
        <f>SUMPRODUCT(E17:M17,E6:M6)</f>
        <v>26.639999999999997</v>
      </c>
      <c r="O17" s="154"/>
      <c r="P17" s="503"/>
      <c r="Q17" s="154"/>
      <c r="R17" s="154"/>
      <c r="S17" s="154"/>
    </row>
    <row r="18" spans="1:19" s="1" customFormat="1" ht="15">
      <c r="A18" s="154" t="s">
        <v>373</v>
      </c>
      <c r="B18" s="154"/>
      <c r="E18" s="387">
        <f>IF(E17=0,0,1/(1/(E17)+0.04))</f>
        <v>0.86872586872586866</v>
      </c>
      <c r="F18" s="387">
        <f t="shared" ref="F18:M18" si="2">IF(F17=0,0,1/(1/(F17)+0.04))</f>
        <v>0.86872586872586866</v>
      </c>
      <c r="G18" s="387">
        <f t="shared" si="2"/>
        <v>0.86872586872586866</v>
      </c>
      <c r="H18" s="387">
        <f t="shared" si="2"/>
        <v>0</v>
      </c>
      <c r="I18" s="387">
        <f t="shared" si="2"/>
        <v>0</v>
      </c>
      <c r="J18" s="387">
        <f t="shared" si="2"/>
        <v>0</v>
      </c>
      <c r="K18" s="387">
        <f t="shared" si="2"/>
        <v>0</v>
      </c>
      <c r="L18" s="387">
        <f t="shared" si="2"/>
        <v>0</v>
      </c>
      <c r="M18" s="387">
        <f t="shared" si="2"/>
        <v>0</v>
      </c>
      <c r="N18" s="155"/>
      <c r="P18" s="504">
        <f>1/((1/P9)+0.04)</f>
        <v>2.0220588235294121</v>
      </c>
      <c r="S18" s="154"/>
    </row>
    <row r="19" spans="1:19" s="1" customFormat="1" ht="13">
      <c r="A19" s="154" t="s">
        <v>374</v>
      </c>
      <c r="B19" s="154"/>
      <c r="E19" s="396"/>
      <c r="F19" s="396"/>
      <c r="G19" s="396"/>
      <c r="H19" s="396"/>
      <c r="I19" s="396"/>
      <c r="J19" s="396"/>
      <c r="K19" s="396"/>
      <c r="L19" s="396"/>
      <c r="M19" s="396"/>
      <c r="N19" s="395">
        <f>SUMPRODUCT(E18:M18,E6:M6)</f>
        <v>25.714285714285708</v>
      </c>
      <c r="P19" s="505">
        <f>P6*P18</f>
        <v>59.954044117647065</v>
      </c>
      <c r="S19" s="154"/>
    </row>
    <row r="20" spans="1:19" s="1" customFormat="1" ht="13">
      <c r="A20" s="154" t="s">
        <v>375</v>
      </c>
      <c r="B20" s="154"/>
      <c r="E20" s="155">
        <f t="shared" ref="E20:M20" si="3">IF(AND(E7="Yes",E5=1),1,0)</f>
        <v>0</v>
      </c>
      <c r="F20" s="155">
        <f t="shared" si="3"/>
        <v>0</v>
      </c>
      <c r="G20" s="155">
        <f t="shared" si="3"/>
        <v>0</v>
      </c>
      <c r="H20" s="155">
        <f t="shared" si="3"/>
        <v>0</v>
      </c>
      <c r="I20" s="155">
        <f t="shared" si="3"/>
        <v>0</v>
      </c>
      <c r="J20" s="155">
        <f t="shared" si="3"/>
        <v>0</v>
      </c>
      <c r="K20" s="155">
        <f t="shared" si="3"/>
        <v>0</v>
      </c>
      <c r="L20" s="155">
        <f t="shared" si="3"/>
        <v>0</v>
      </c>
      <c r="M20" s="155">
        <f t="shared" si="3"/>
        <v>0</v>
      </c>
      <c r="N20" s="155"/>
      <c r="P20" s="503"/>
      <c r="S20" s="154"/>
    </row>
    <row r="21" spans="1:19" s="1" customFormat="1" ht="13">
      <c r="A21" s="9" t="s">
        <v>376</v>
      </c>
      <c r="B21" s="9"/>
      <c r="E21" s="155"/>
      <c r="F21" s="155"/>
      <c r="G21" s="155"/>
      <c r="H21" s="155"/>
      <c r="I21" s="155"/>
      <c r="J21" s="155"/>
      <c r="K21" s="155"/>
      <c r="L21" s="155"/>
      <c r="M21" s="155"/>
      <c r="N21" s="155"/>
      <c r="P21" s="503"/>
      <c r="S21" s="154"/>
    </row>
    <row r="22" spans="1:19" s="1" customFormat="1" ht="13">
      <c r="A22" s="154" t="s">
        <v>377</v>
      </c>
      <c r="B22" s="154"/>
      <c r="E22" s="382">
        <v>2</v>
      </c>
      <c r="F22" s="382">
        <v>2</v>
      </c>
      <c r="G22" s="382">
        <v>2</v>
      </c>
      <c r="H22" s="382"/>
      <c r="I22" s="382"/>
      <c r="J22" s="382"/>
      <c r="K22" s="382"/>
      <c r="L22" s="382"/>
      <c r="M22" s="382"/>
      <c r="N22" s="155"/>
      <c r="P22" s="503">
        <v>2</v>
      </c>
      <c r="S22" s="154"/>
    </row>
    <row r="23" spans="1:19" s="1" customFormat="1" ht="13">
      <c r="A23" s="154" t="s">
        <v>378</v>
      </c>
      <c r="B23" s="154"/>
      <c r="E23" s="387">
        <f>VLOOKUP(E$22,$D$67:$G$71,2,FALSE)</f>
        <v>0.77</v>
      </c>
      <c r="F23" s="387">
        <f t="shared" ref="F23:M23" si="4">VLOOKUP(F$22,$D$67:$G$71,2,FALSE)</f>
        <v>0.77</v>
      </c>
      <c r="G23" s="387">
        <f t="shared" si="4"/>
        <v>0.77</v>
      </c>
      <c r="H23" s="387">
        <f t="shared" si="4"/>
        <v>0</v>
      </c>
      <c r="I23" s="387">
        <f t="shared" si="4"/>
        <v>0</v>
      </c>
      <c r="J23" s="387">
        <f t="shared" si="4"/>
        <v>0</v>
      </c>
      <c r="K23" s="387">
        <f t="shared" si="4"/>
        <v>0</v>
      </c>
      <c r="L23" s="387">
        <f t="shared" si="4"/>
        <v>0</v>
      </c>
      <c r="M23" s="387">
        <f t="shared" si="4"/>
        <v>0</v>
      </c>
      <c r="N23" s="155"/>
      <c r="P23" s="503">
        <f>VLOOKUP(P$22,$D$67:$F$70,2,FALSE)</f>
        <v>0.77</v>
      </c>
      <c r="S23" s="154"/>
    </row>
    <row r="24" spans="1:19" s="1" customFormat="1" ht="13">
      <c r="A24" s="154" t="s">
        <v>379</v>
      </c>
      <c r="B24" s="154"/>
      <c r="E24" s="387">
        <f>VLOOKUP(E$22,$D$67:$G$71,4,FALSE)</f>
        <v>0.83</v>
      </c>
      <c r="F24" s="387">
        <f t="shared" ref="F24:M24" si="5">VLOOKUP(F$22,$D$67:$G$71,4,FALSE)</f>
        <v>0.83</v>
      </c>
      <c r="G24" s="387">
        <f t="shared" si="5"/>
        <v>0.83</v>
      </c>
      <c r="H24" s="387">
        <f t="shared" si="5"/>
        <v>0</v>
      </c>
      <c r="I24" s="387">
        <f t="shared" si="5"/>
        <v>0</v>
      </c>
      <c r="J24" s="387">
        <f t="shared" si="5"/>
        <v>0</v>
      </c>
      <c r="K24" s="387">
        <f t="shared" si="5"/>
        <v>0</v>
      </c>
      <c r="L24" s="387">
        <f t="shared" si="5"/>
        <v>0</v>
      </c>
      <c r="M24" s="387">
        <f t="shared" si="5"/>
        <v>0</v>
      </c>
      <c r="N24" s="155"/>
      <c r="P24" s="503">
        <f>VLOOKUP(P$22,$D$67:$G$70,4,FALSE)</f>
        <v>0.83</v>
      </c>
      <c r="S24" s="154"/>
    </row>
    <row r="25" spans="1:19" s="1" customFormat="1" ht="13">
      <c r="A25" s="154" t="s">
        <v>380</v>
      </c>
      <c r="B25" s="154"/>
      <c r="E25" s="382">
        <v>0.7</v>
      </c>
      <c r="F25" s="382">
        <v>0.7</v>
      </c>
      <c r="G25" s="382">
        <v>0.7</v>
      </c>
      <c r="H25" s="382"/>
      <c r="I25" s="382"/>
      <c r="J25" s="382"/>
      <c r="K25" s="382"/>
      <c r="L25" s="382"/>
      <c r="M25" s="382"/>
      <c r="N25" s="155"/>
      <c r="P25" s="503">
        <v>0.7</v>
      </c>
      <c r="S25" s="154"/>
    </row>
    <row r="26" spans="1:19" s="1" customFormat="1" ht="13">
      <c r="A26" s="154" t="s">
        <v>381</v>
      </c>
      <c r="B26" s="154"/>
      <c r="E26" s="382">
        <v>7</v>
      </c>
      <c r="F26" s="382">
        <v>7</v>
      </c>
      <c r="G26" s="382">
        <v>7</v>
      </c>
      <c r="H26" s="382"/>
      <c r="I26" s="382"/>
      <c r="J26" s="382"/>
      <c r="K26" s="382"/>
      <c r="L26" s="382"/>
      <c r="M26" s="382"/>
      <c r="N26" s="155"/>
      <c r="P26" s="503">
        <v>3</v>
      </c>
      <c r="S26" s="154"/>
    </row>
    <row r="27" spans="1:19" s="1" customFormat="1" ht="13">
      <c r="A27" s="154" t="s">
        <v>382</v>
      </c>
      <c r="B27" s="154"/>
      <c r="E27" s="399">
        <f>IF(E10="Yes",E13,VLOOKUP(E$26,$D$56:$F$63,2,FALSE))</f>
        <v>0.6</v>
      </c>
      <c r="F27" s="399">
        <f>IF(F10="Yes",F13,VLOOKUP(F$26,$D$56:$F$63,2,FALSE))</f>
        <v>0.6</v>
      </c>
      <c r="G27" s="399">
        <f>IF(G10="Yes",G13,VLOOKUP(G$26,$D$56:$F$63,2,FALSE))</f>
        <v>0.6</v>
      </c>
      <c r="H27" s="399">
        <f t="shared" ref="H27:M27" si="6">IF(H10="Yes",H13,VLOOKUP(H$26,$D$56:$F$63,2,FALSE))</f>
        <v>0</v>
      </c>
      <c r="I27" s="399">
        <f t="shared" si="6"/>
        <v>0</v>
      </c>
      <c r="J27" s="399">
        <f t="shared" si="6"/>
        <v>0</v>
      </c>
      <c r="K27" s="399">
        <f t="shared" si="6"/>
        <v>0</v>
      </c>
      <c r="L27" s="399">
        <f t="shared" si="6"/>
        <v>0</v>
      </c>
      <c r="M27" s="399">
        <f t="shared" si="6"/>
        <v>0</v>
      </c>
      <c r="N27" s="155"/>
      <c r="P27" s="503">
        <f>VLOOKUP(P$26,$D$56:$F$62,2,FALSE)</f>
        <v>0.72</v>
      </c>
      <c r="S27" s="154"/>
    </row>
    <row r="28" spans="1:19" s="1" customFormat="1" ht="13">
      <c r="A28" s="154" t="s">
        <v>383</v>
      </c>
      <c r="B28" s="154"/>
      <c r="E28" s="387">
        <f>VLOOKUP(E$26,$D$56:$F$63,3,FALSE)</f>
        <v>0.7</v>
      </c>
      <c r="F28" s="387">
        <f t="shared" ref="F28:M28" si="7">VLOOKUP(F$26,$D$56:$F$63,3,FALSE)</f>
        <v>0.7</v>
      </c>
      <c r="G28" s="387">
        <f t="shared" si="7"/>
        <v>0.7</v>
      </c>
      <c r="H28" s="387">
        <f t="shared" si="7"/>
        <v>0</v>
      </c>
      <c r="I28" s="387">
        <f t="shared" si="7"/>
        <v>0</v>
      </c>
      <c r="J28" s="387">
        <f t="shared" si="7"/>
        <v>0</v>
      </c>
      <c r="K28" s="387">
        <f t="shared" si="7"/>
        <v>0</v>
      </c>
      <c r="L28" s="387">
        <f t="shared" si="7"/>
        <v>0</v>
      </c>
      <c r="M28" s="387">
        <f t="shared" si="7"/>
        <v>0</v>
      </c>
      <c r="N28" s="155"/>
      <c r="P28" s="504">
        <f>VLOOKUP(P$26,$D$56:$F$62,3,FALSE)</f>
        <v>0.8</v>
      </c>
      <c r="S28" s="154"/>
    </row>
    <row r="29" spans="1:19" s="1" customFormat="1" ht="13">
      <c r="A29" s="154" t="s">
        <v>384</v>
      </c>
      <c r="B29" s="154"/>
      <c r="E29" s="155"/>
      <c r="F29" s="400">
        <v>0.9</v>
      </c>
      <c r="G29" s="42"/>
      <c r="H29" s="155"/>
      <c r="I29" s="155"/>
      <c r="J29" s="155"/>
      <c r="K29" s="155"/>
      <c r="L29" s="155"/>
      <c r="M29" s="155"/>
      <c r="N29" s="155"/>
      <c r="P29" s="503"/>
      <c r="S29" s="154"/>
    </row>
    <row r="30" spans="1:19" s="1" customFormat="1" ht="13">
      <c r="A30" s="154" t="s">
        <v>385</v>
      </c>
      <c r="B30" s="154"/>
      <c r="E30" s="396">
        <f t="shared" ref="E30:M30" si="8">E6*E23*E25*E27*$F$29</f>
        <v>8.3534219999999983</v>
      </c>
      <c r="F30" s="396">
        <f t="shared" si="8"/>
        <v>0</v>
      </c>
      <c r="G30" s="396">
        <f t="shared" si="8"/>
        <v>0.26195400000000002</v>
      </c>
      <c r="H30" s="396">
        <f t="shared" si="8"/>
        <v>0</v>
      </c>
      <c r="I30" s="396">
        <f t="shared" si="8"/>
        <v>0</v>
      </c>
      <c r="J30" s="396">
        <f t="shared" si="8"/>
        <v>0</v>
      </c>
      <c r="K30" s="396">
        <f t="shared" si="8"/>
        <v>0</v>
      </c>
      <c r="L30" s="396">
        <f t="shared" si="8"/>
        <v>0</v>
      </c>
      <c r="M30" s="396">
        <f t="shared" si="8"/>
        <v>0</v>
      </c>
      <c r="N30" s="396">
        <f>SUM(E30:M30)</f>
        <v>8.6153759999999977</v>
      </c>
      <c r="P30" s="507">
        <f>P6*P23*P25*P27*$F$29</f>
        <v>10.355914799999999</v>
      </c>
      <c r="S30" s="154"/>
    </row>
    <row r="31" spans="1:19" s="1" customFormat="1" ht="13">
      <c r="M31" s="154"/>
      <c r="N31" s="154"/>
      <c r="O31" s="154"/>
      <c r="P31" s="503"/>
      <c r="Q31" s="154"/>
      <c r="R31" s="154"/>
      <c r="S31" s="154"/>
    </row>
    <row r="32" spans="1:19" s="6" customFormat="1" ht="14.5">
      <c r="A32" s="154" t="s">
        <v>357</v>
      </c>
      <c r="B32" s="155" t="s">
        <v>305</v>
      </c>
      <c r="C32" s="154" t="s">
        <v>386</v>
      </c>
      <c r="D32" s="154"/>
      <c r="E32" s="154"/>
      <c r="F32" s="154" t="s">
        <v>387</v>
      </c>
      <c r="G32" s="154"/>
      <c r="H32" s="154"/>
      <c r="I32" s="154"/>
      <c r="J32" s="154"/>
      <c r="K32" s="154"/>
      <c r="L32" s="154"/>
      <c r="M32" s="154"/>
      <c r="N32" s="154"/>
      <c r="O32" s="154"/>
      <c r="P32" s="503"/>
      <c r="Q32" s="154"/>
      <c r="R32" s="154"/>
      <c r="S32" s="154"/>
    </row>
    <row r="33" spans="1:19" s="6" customFormat="1">
      <c r="A33" s="154" t="s">
        <v>360</v>
      </c>
      <c r="B33" s="155">
        <v>1</v>
      </c>
      <c r="C33" s="387">
        <f>SUMIF($E$5:$M$5,"=1",$E$6:$M$6)</f>
        <v>0.9</v>
      </c>
      <c r="D33" s="155"/>
      <c r="E33" s="155"/>
      <c r="F33" s="401">
        <f>SUMIF($E$5:$M$5,"=1",$E$30:$M$30)</f>
        <v>0.26195400000000002</v>
      </c>
      <c r="G33" s="154"/>
      <c r="H33" s="154"/>
      <c r="I33" s="154"/>
      <c r="J33" s="154"/>
      <c r="K33" s="154"/>
      <c r="L33" s="154"/>
      <c r="M33" s="154"/>
      <c r="N33" s="154"/>
      <c r="O33" s="154"/>
      <c r="P33" s="503"/>
      <c r="Q33" s="154"/>
      <c r="R33" s="154"/>
      <c r="S33" s="154"/>
    </row>
    <row r="34" spans="1:19" s="6" customFormat="1">
      <c r="A34" s="154" t="s">
        <v>388</v>
      </c>
      <c r="B34" s="155">
        <v>2</v>
      </c>
      <c r="C34" s="387">
        <f>SUMIF($E$5:$M$5,"=2",$E$6:$M$6)</f>
        <v>0</v>
      </c>
      <c r="D34" s="155"/>
      <c r="E34" s="155"/>
      <c r="F34" s="401">
        <f>SUMIF($E$5:$M$5,"=2",$E$30:$M$30)</f>
        <v>0</v>
      </c>
      <c r="G34" s="154"/>
      <c r="H34" s="154"/>
      <c r="I34" s="154"/>
      <c r="J34" s="154"/>
      <c r="K34" s="154"/>
      <c r="L34" s="154"/>
      <c r="M34" s="154"/>
      <c r="N34" s="154"/>
      <c r="O34" s="154"/>
      <c r="P34" s="503"/>
      <c r="Q34" s="154"/>
      <c r="R34" s="154"/>
      <c r="S34" s="154"/>
    </row>
    <row r="35" spans="1:19" s="6" customFormat="1">
      <c r="A35" s="154" t="s">
        <v>358</v>
      </c>
      <c r="B35" s="155">
        <v>3</v>
      </c>
      <c r="C35" s="387">
        <f>SUMIF($E$5:$M$5,"=3",$E$6:$M$6)</f>
        <v>28.7</v>
      </c>
      <c r="D35" s="155"/>
      <c r="E35" s="155"/>
      <c r="F35" s="401">
        <f>SUMIF($E$5:$M$5,"=3",$E$30:$M$30)</f>
        <v>8.3534219999999983</v>
      </c>
      <c r="G35" s="154"/>
      <c r="H35" s="154"/>
      <c r="I35" s="154"/>
      <c r="J35" s="154"/>
      <c r="K35" s="154"/>
      <c r="L35" s="154"/>
      <c r="M35" s="154"/>
      <c r="N35" s="154"/>
      <c r="O35" s="154"/>
      <c r="P35" s="504">
        <f>P30</f>
        <v>10.355914799999999</v>
      </c>
      <c r="Q35" s="154"/>
      <c r="R35" s="154"/>
      <c r="S35" s="154"/>
    </row>
    <row r="36" spans="1:19" s="6" customFormat="1">
      <c r="A36" s="154" t="s">
        <v>361</v>
      </c>
      <c r="B36" s="155">
        <v>4</v>
      </c>
      <c r="C36" s="387">
        <f>SUMIF($E$5:$M$5,"=4",$E$6:$M$6)</f>
        <v>0</v>
      </c>
      <c r="D36" s="155"/>
      <c r="E36" s="155"/>
      <c r="F36" s="401">
        <f>SUMIF($E$5:$M$5,"=4",$E$30:$M$30)</f>
        <v>0</v>
      </c>
      <c r="G36" s="154"/>
      <c r="H36" s="154"/>
      <c r="I36" s="154"/>
      <c r="J36" s="154"/>
      <c r="K36" s="154"/>
      <c r="L36" s="154"/>
      <c r="M36" s="154"/>
      <c r="N36" s="154"/>
      <c r="O36" s="154"/>
      <c r="P36" s="503"/>
      <c r="Q36" s="154"/>
      <c r="R36" s="154"/>
      <c r="S36" s="154"/>
    </row>
    <row r="37" spans="1:19" s="6" customFormat="1">
      <c r="A37" s="154" t="s">
        <v>359</v>
      </c>
      <c r="B37" s="155">
        <v>5</v>
      </c>
      <c r="C37" s="387">
        <f>SUMIF($E$5:$M$5,"=5",$E$6:$M$6)</f>
        <v>0</v>
      </c>
      <c r="D37" s="155"/>
      <c r="E37" s="155"/>
      <c r="F37" s="401">
        <f>SUMIF($E$5:$M$5,"=5",$E$30:$M$30)</f>
        <v>0</v>
      </c>
      <c r="G37" s="154"/>
      <c r="H37" s="154"/>
      <c r="I37" s="154"/>
      <c r="J37" s="154"/>
      <c r="K37" s="154"/>
      <c r="L37" s="154"/>
      <c r="M37" s="154"/>
      <c r="N37" s="154"/>
      <c r="O37" s="154"/>
      <c r="P37" s="503"/>
      <c r="Q37" s="154"/>
      <c r="R37" s="154"/>
      <c r="S37" s="154"/>
    </row>
    <row r="38" spans="1:19" s="6" customFormat="1">
      <c r="A38" s="154" t="s">
        <v>362</v>
      </c>
      <c r="B38" s="155">
        <v>6</v>
      </c>
      <c r="C38" s="387">
        <f>SUMIF($E$5:$M$5,"=6",$E$6:$M$6)</f>
        <v>0</v>
      </c>
      <c r="D38" s="155"/>
      <c r="E38" s="155"/>
      <c r="F38" s="401">
        <f>SUMIF($E$5:$M$5,"=6",$E$30:$M$30)</f>
        <v>0</v>
      </c>
      <c r="G38" s="154"/>
      <c r="H38" s="154"/>
      <c r="I38" s="154"/>
      <c r="J38" s="154"/>
      <c r="K38" s="154"/>
      <c r="L38" s="154"/>
      <c r="M38" s="154"/>
      <c r="N38" s="154"/>
      <c r="O38" s="154"/>
      <c r="P38" s="503"/>
      <c r="Q38" s="154"/>
      <c r="R38" s="154"/>
      <c r="S38" s="154"/>
    </row>
    <row r="39" spans="1:19" s="6" customFormat="1">
      <c r="A39" s="154" t="s">
        <v>389</v>
      </c>
      <c r="B39" s="155">
        <v>1</v>
      </c>
      <c r="C39" s="387">
        <f>SUMIF($E$20:$M$20,"=1",$E$6:$M$6)</f>
        <v>0</v>
      </c>
      <c r="D39" s="154"/>
      <c r="E39" s="154"/>
      <c r="F39" s="154"/>
      <c r="G39" s="154"/>
      <c r="H39" s="154"/>
      <c r="I39" s="154"/>
      <c r="J39" s="154"/>
      <c r="K39" s="154"/>
      <c r="L39" s="154"/>
      <c r="M39" s="154"/>
      <c r="N39" s="154"/>
      <c r="O39" s="154"/>
      <c r="P39" s="503"/>
      <c r="Q39" s="154"/>
      <c r="R39" s="154"/>
      <c r="S39" s="154"/>
    </row>
    <row r="40" spans="1:19" s="6" customFormat="1" ht="13">
      <c r="A40" s="9" t="s">
        <v>390</v>
      </c>
      <c r="B40" s="154"/>
      <c r="C40" s="154"/>
      <c r="D40" s="154"/>
      <c r="E40" s="154"/>
      <c r="F40" s="154"/>
      <c r="G40" s="154"/>
      <c r="H40" s="154"/>
      <c r="I40" s="154"/>
      <c r="J40" s="154"/>
      <c r="K40" s="154"/>
      <c r="L40" s="154"/>
      <c r="M40" s="154"/>
      <c r="N40" s="154"/>
      <c r="O40" s="154"/>
      <c r="P40" s="503"/>
      <c r="Q40" s="154"/>
      <c r="R40" s="154"/>
      <c r="S40" s="154"/>
    </row>
    <row r="41" spans="1:19" s="6" customFormat="1">
      <c r="A41" s="154" t="s">
        <v>391</v>
      </c>
      <c r="B41" s="154"/>
      <c r="C41" s="398"/>
      <c r="D41" s="398"/>
      <c r="E41" s="398"/>
      <c r="F41" s="402">
        <f>IF(tfa=0,0,SUMPRODUCT(E24:M24,E6:M6,E28:M28,E25:M25)*0.9/tfa)</f>
        <v>8.5987999999999995E-2</v>
      </c>
      <c r="G41" s="398"/>
      <c r="H41" s="398"/>
      <c r="I41" s="398"/>
      <c r="J41" s="398"/>
      <c r="K41" s="398"/>
      <c r="L41" s="154"/>
      <c r="M41" s="154"/>
      <c r="N41" s="154"/>
      <c r="O41" s="154"/>
      <c r="P41" s="508">
        <f>(P6*P24*P25*P28)*0.9/tfa</f>
        <v>9.8437999999999984E-2</v>
      </c>
      <c r="Q41" s="154"/>
      <c r="R41" s="154"/>
      <c r="S41" s="154"/>
    </row>
    <row r="42" spans="1:19" s="6" customFormat="1">
      <c r="A42" s="154"/>
      <c r="B42" s="154"/>
      <c r="C42" s="154"/>
      <c r="D42" s="154"/>
      <c r="E42" s="154"/>
      <c r="F42" s="154"/>
      <c r="G42" s="154"/>
      <c r="H42" s="154"/>
      <c r="I42" s="154"/>
      <c r="J42" s="154"/>
      <c r="K42" s="154"/>
      <c r="L42" s="154"/>
      <c r="M42" s="154"/>
      <c r="N42" s="154"/>
      <c r="O42" s="154"/>
      <c r="P42" s="503"/>
      <c r="Q42" s="154"/>
      <c r="R42" s="154"/>
      <c r="S42" s="154"/>
    </row>
    <row r="43" spans="1:19" s="6" customFormat="1" ht="13">
      <c r="A43" s="3" t="s">
        <v>392</v>
      </c>
      <c r="B43" s="154"/>
      <c r="C43" s="154"/>
      <c r="D43" s="154"/>
      <c r="E43" s="154"/>
      <c r="F43" s="154"/>
      <c r="G43" s="154"/>
      <c r="H43" s="154"/>
      <c r="I43" s="154"/>
      <c r="J43" s="154"/>
      <c r="K43" s="154"/>
      <c r="L43" s="154"/>
      <c r="M43" s="154"/>
      <c r="N43" s="154"/>
      <c r="O43" s="154"/>
      <c r="P43" s="503"/>
      <c r="Q43" s="154"/>
      <c r="R43" s="154"/>
      <c r="S43" s="154"/>
    </row>
    <row r="44" spans="1:19" s="6" customFormat="1">
      <c r="A44" s="115" t="s">
        <v>393</v>
      </c>
      <c r="B44" s="154"/>
      <c r="C44" s="154"/>
      <c r="D44" s="154"/>
      <c r="E44" s="154" t="str">
        <f t="shared" ref="E44:M44" si="9">E4</f>
        <v>East/West</v>
      </c>
      <c r="F44" s="154" t="str">
        <f t="shared" si="9"/>
        <v>South</v>
      </c>
      <c r="G44" s="154" t="str">
        <f t="shared" si="9"/>
        <v>North</v>
      </c>
      <c r="H44" s="154" t="str">
        <f t="shared" si="9"/>
        <v>SE/SW</v>
      </c>
      <c r="I44" s="154" t="str">
        <f t="shared" si="9"/>
        <v>South</v>
      </c>
      <c r="J44" s="154" t="str">
        <f t="shared" si="9"/>
        <v>North</v>
      </c>
      <c r="K44" s="154" t="str">
        <f t="shared" si="9"/>
        <v>North</v>
      </c>
      <c r="L44" s="154" t="str">
        <f t="shared" si="9"/>
        <v>North</v>
      </c>
      <c r="M44" s="154" t="str">
        <f t="shared" si="9"/>
        <v>Horizontal</v>
      </c>
      <c r="N44" s="154"/>
      <c r="O44" s="154"/>
      <c r="P44" s="503"/>
      <c r="Q44" s="154"/>
      <c r="R44" s="154"/>
      <c r="S44" s="154"/>
    </row>
    <row r="45" spans="1:19" s="6" customFormat="1" ht="14.5">
      <c r="A45" s="115" t="s">
        <v>394</v>
      </c>
      <c r="B45" s="154"/>
      <c r="C45" s="154"/>
      <c r="D45" s="154"/>
      <c r="E45" s="155">
        <f>VLOOKUP(E44,Summer!$A$23:$B$28,2,FALSE)</f>
        <v>111</v>
      </c>
      <c r="F45" s="155">
        <f>VLOOKUP(F44,Summer!$A$23:$B$28,2,FALSE)</f>
        <v>110</v>
      </c>
      <c r="G45" s="155">
        <f>VLOOKUP(G44,Summer!$A$23:$B$28,2,FALSE)</f>
        <v>78</v>
      </c>
      <c r="H45" s="155">
        <f>VLOOKUP(H44,Summer!$A$23:$B$28,2,FALSE)</f>
        <v>115</v>
      </c>
      <c r="I45" s="155">
        <f>VLOOKUP(I44,Summer!$A$23:$B$28,2,FALSE)</f>
        <v>110</v>
      </c>
      <c r="J45" s="155">
        <f>VLOOKUP(J44,Summer!$A$23:$B$28,2,FALSE)</f>
        <v>78</v>
      </c>
      <c r="K45" s="155">
        <f>VLOOKUP(K44,Summer!$A$23:$B$28,2,FALSE)</f>
        <v>78</v>
      </c>
      <c r="L45" s="155">
        <f>VLOOKUP(L44,Summer!$A$23:$B$28,2,FALSE)</f>
        <v>78</v>
      </c>
      <c r="M45" s="155">
        <f>VLOOKUP(M44,Summer!$A$23:$B$28,2,FALSE)</f>
        <v>185</v>
      </c>
      <c r="N45" s="154"/>
      <c r="O45" s="154"/>
      <c r="P45" s="503"/>
      <c r="Q45" s="154"/>
      <c r="R45" s="154"/>
      <c r="S45" s="154"/>
    </row>
    <row r="46" spans="1:19" s="1" customFormat="1" ht="13">
      <c r="A46" s="154" t="s">
        <v>395</v>
      </c>
      <c r="B46" s="154"/>
      <c r="E46" s="387">
        <f>VLOOKUP(E$22,$D$67:$G$71,3,FALSE)</f>
        <v>0.9</v>
      </c>
      <c r="F46" s="387">
        <f t="shared" ref="F46:M46" si="10">VLOOKUP(F$22,$D$67:$G$71,3,FALSE)</f>
        <v>0.9</v>
      </c>
      <c r="G46" s="387">
        <f t="shared" si="10"/>
        <v>0.9</v>
      </c>
      <c r="H46" s="387">
        <f t="shared" si="10"/>
        <v>0</v>
      </c>
      <c r="I46" s="387">
        <f t="shared" si="10"/>
        <v>0</v>
      </c>
      <c r="J46" s="387">
        <f t="shared" si="10"/>
        <v>0</v>
      </c>
      <c r="K46" s="387">
        <f t="shared" si="10"/>
        <v>0</v>
      </c>
      <c r="L46" s="387">
        <f t="shared" si="10"/>
        <v>0</v>
      </c>
      <c r="M46" s="387">
        <f t="shared" si="10"/>
        <v>0</v>
      </c>
      <c r="P46" s="503"/>
      <c r="S46" s="154"/>
    </row>
    <row r="47" spans="1:19" s="6" customFormat="1">
      <c r="A47" t="s">
        <v>396</v>
      </c>
      <c r="B47"/>
      <c r="C47" s="154"/>
      <c r="D47" s="154"/>
      <c r="E47" s="43">
        <v>0.85</v>
      </c>
      <c r="F47" s="43">
        <v>0.85</v>
      </c>
      <c r="G47" s="43">
        <v>0.85</v>
      </c>
      <c r="H47" s="43"/>
      <c r="I47" s="43"/>
      <c r="J47" s="43"/>
      <c r="K47" s="43"/>
      <c r="L47" s="43"/>
      <c r="M47" s="43"/>
      <c r="N47" s="154"/>
      <c r="O47"/>
      <c r="P47" s="503"/>
      <c r="Q47" s="154"/>
      <c r="R47" s="154"/>
      <c r="S47" s="154"/>
    </row>
    <row r="48" spans="1:19" s="6" customFormat="1">
      <c r="A48" t="s">
        <v>397</v>
      </c>
      <c r="B48"/>
      <c r="C48" s="154"/>
      <c r="D48" s="154"/>
      <c r="E48" s="43">
        <v>1</v>
      </c>
      <c r="F48" s="43">
        <v>1</v>
      </c>
      <c r="G48" s="43">
        <v>1</v>
      </c>
      <c r="H48" s="43"/>
      <c r="I48" s="43"/>
      <c r="J48" s="43"/>
      <c r="K48" s="43"/>
      <c r="L48" s="43"/>
      <c r="M48" s="43"/>
      <c r="N48" s="154"/>
      <c r="O48"/>
      <c r="P48" s="503"/>
      <c r="Q48" s="154"/>
      <c r="R48" s="154"/>
      <c r="S48" s="154"/>
    </row>
    <row r="49" spans="1:19" s="6" customFormat="1">
      <c r="A49" t="s">
        <v>398</v>
      </c>
      <c r="B49" s="154"/>
      <c r="C49" s="154"/>
      <c r="D49" s="154"/>
      <c r="E49" s="44">
        <f t="shared" ref="E49:M49" si="11">MAX(0.1*E47,E47*(E46+E48-1))</f>
        <v>0.7649999999999999</v>
      </c>
      <c r="F49" s="44">
        <f t="shared" si="11"/>
        <v>0.7649999999999999</v>
      </c>
      <c r="G49" s="44">
        <f t="shared" si="11"/>
        <v>0.7649999999999999</v>
      </c>
      <c r="H49" s="44">
        <f t="shared" si="11"/>
        <v>0</v>
      </c>
      <c r="I49" s="44">
        <f t="shared" si="11"/>
        <v>0</v>
      </c>
      <c r="J49" s="44">
        <f t="shared" si="11"/>
        <v>0</v>
      </c>
      <c r="K49" s="44">
        <f t="shared" si="11"/>
        <v>0</v>
      </c>
      <c r="L49" s="44">
        <f t="shared" si="11"/>
        <v>0</v>
      </c>
      <c r="M49" s="44">
        <f t="shared" si="11"/>
        <v>0</v>
      </c>
      <c r="N49" s="154"/>
      <c r="O49" s="154"/>
      <c r="P49" s="503"/>
      <c r="Q49" s="154"/>
      <c r="R49" s="154"/>
      <c r="S49" s="154"/>
    </row>
    <row r="50" spans="1:19" s="6" customFormat="1" ht="14.5">
      <c r="A50" t="s">
        <v>399</v>
      </c>
      <c r="B50" s="154"/>
      <c r="C50" s="154"/>
      <c r="D50" s="154"/>
      <c r="E50" s="155"/>
      <c r="F50" s="383">
        <f>SUMPRODUCT(E45:M45,E6:M6,E49:M49,E25:M25,E27:M27)*F29</f>
        <v>941.50860299999988</v>
      </c>
      <c r="G50" s="155"/>
      <c r="H50" s="155"/>
      <c r="I50" s="155"/>
      <c r="J50" s="155"/>
      <c r="K50" s="155"/>
      <c r="L50" s="155"/>
      <c r="M50" s="155"/>
      <c r="N50" s="154"/>
      <c r="O50" s="154"/>
      <c r="P50" s="503"/>
      <c r="Q50" s="154"/>
      <c r="R50" s="154"/>
      <c r="S50" s="154"/>
    </row>
    <row r="51" spans="1:19" s="6" customFormat="1">
      <c r="A51" s="154"/>
      <c r="B51" s="154"/>
      <c r="C51" s="154"/>
      <c r="D51" s="154"/>
      <c r="E51" s="154"/>
      <c r="F51" s="154"/>
      <c r="G51" s="154"/>
      <c r="H51" s="154"/>
      <c r="I51" s="154"/>
      <c r="J51" s="154"/>
      <c r="K51" s="154"/>
      <c r="L51" s="154"/>
      <c r="M51" s="154"/>
      <c r="N51" s="154"/>
      <c r="O51" s="154"/>
      <c r="P51" s="503"/>
      <c r="Q51" s="154"/>
      <c r="R51" s="154"/>
      <c r="S51" s="154"/>
    </row>
    <row r="52" spans="1:19" s="6" customFormat="1">
      <c r="A52" s="154"/>
      <c r="B52" s="154"/>
      <c r="C52" s="154"/>
      <c r="D52" s="154"/>
      <c r="E52" s="154"/>
      <c r="F52" s="154"/>
      <c r="G52" s="154"/>
      <c r="H52" s="154"/>
      <c r="I52" s="154"/>
      <c r="J52" s="154"/>
      <c r="K52" s="154"/>
      <c r="L52" s="154"/>
      <c r="M52" s="154"/>
      <c r="N52" s="154"/>
      <c r="O52" s="154"/>
      <c r="P52" s="503"/>
      <c r="Q52" s="154"/>
      <c r="R52" s="154"/>
      <c r="S52" s="154"/>
    </row>
    <row r="53" spans="1:19" s="6" customFormat="1" ht="13">
      <c r="A53" s="9" t="s">
        <v>225</v>
      </c>
      <c r="B53" s="154"/>
      <c r="C53" s="154"/>
      <c r="D53" s="154"/>
      <c r="E53" s="154"/>
      <c r="F53" s="154"/>
      <c r="G53" s="154"/>
      <c r="H53" s="154"/>
      <c r="I53" s="154"/>
      <c r="J53" s="154"/>
      <c r="K53" s="154"/>
      <c r="L53" s="154"/>
      <c r="M53" s="154"/>
      <c r="N53" s="154"/>
      <c r="O53" s="154"/>
      <c r="P53" s="503"/>
      <c r="Q53" s="154"/>
      <c r="R53" s="154"/>
      <c r="S53" s="154"/>
    </row>
    <row r="54" spans="1:19" s="1" customFormat="1" ht="13">
      <c r="A54" s="9" t="s">
        <v>400</v>
      </c>
      <c r="B54" s="154"/>
      <c r="C54" s="154"/>
      <c r="D54" s="154"/>
      <c r="E54" s="154"/>
      <c r="F54" s="154"/>
      <c r="G54" s="154"/>
      <c r="H54" s="154"/>
      <c r="I54" s="154"/>
      <c r="J54" s="154"/>
      <c r="K54" s="154"/>
      <c r="L54" s="154"/>
      <c r="M54" s="154"/>
      <c r="N54" s="154"/>
      <c r="O54" s="154"/>
      <c r="P54" s="503"/>
      <c r="Q54" s="154"/>
      <c r="R54" s="154"/>
      <c r="S54" s="154"/>
    </row>
    <row r="55" spans="1:19" s="1" customFormat="1" ht="13">
      <c r="A55" s="154" t="s">
        <v>401</v>
      </c>
      <c r="B55" s="154"/>
      <c r="C55" s="154"/>
      <c r="D55" s="154" t="s">
        <v>305</v>
      </c>
      <c r="E55" s="154" t="s">
        <v>402</v>
      </c>
      <c r="F55" s="154" t="s">
        <v>403</v>
      </c>
      <c r="G55" s="154"/>
      <c r="H55" s="154"/>
      <c r="I55" s="154"/>
      <c r="J55" s="154"/>
      <c r="K55" s="154"/>
      <c r="L55" s="154"/>
      <c r="M55" s="154"/>
      <c r="N55" s="154"/>
      <c r="O55" s="154"/>
      <c r="P55" s="503"/>
      <c r="Q55" s="154"/>
      <c r="R55" s="154"/>
      <c r="S55" s="154"/>
    </row>
    <row r="56" spans="1:19" s="1" customFormat="1" ht="13">
      <c r="A56" s="154" t="s">
        <v>404</v>
      </c>
      <c r="B56" s="154"/>
      <c r="C56" s="154"/>
      <c r="D56" s="154">
        <v>1</v>
      </c>
      <c r="E56" s="154">
        <v>0.85</v>
      </c>
      <c r="F56" s="154">
        <v>0.9</v>
      </c>
      <c r="G56" s="154"/>
      <c r="H56" s="154"/>
      <c r="I56" s="154"/>
      <c r="J56" s="154"/>
      <c r="K56" s="154"/>
      <c r="L56" s="154"/>
      <c r="M56" s="154"/>
      <c r="N56" s="154"/>
      <c r="O56" s="154"/>
      <c r="P56" s="503"/>
      <c r="Q56" s="154"/>
      <c r="R56" s="154"/>
      <c r="S56" s="154"/>
    </row>
    <row r="57" spans="1:19" s="1" customFormat="1" ht="13">
      <c r="A57" s="154" t="s">
        <v>405</v>
      </c>
      <c r="B57" s="154"/>
      <c r="C57" s="154"/>
      <c r="D57" s="154">
        <v>2</v>
      </c>
      <c r="E57" s="154">
        <v>0.76</v>
      </c>
      <c r="F57" s="154">
        <v>0.8</v>
      </c>
      <c r="G57" s="154"/>
      <c r="H57" s="154"/>
      <c r="I57" s="154"/>
      <c r="J57" s="154"/>
      <c r="K57" s="154"/>
      <c r="L57" s="154"/>
      <c r="M57" s="154"/>
      <c r="N57" s="154"/>
      <c r="O57" s="154"/>
      <c r="P57" s="503"/>
      <c r="Q57" s="154"/>
      <c r="R57" s="154"/>
      <c r="S57" s="154"/>
    </row>
    <row r="58" spans="1:19">
      <c r="A58" s="154" t="s">
        <v>406</v>
      </c>
      <c r="B58" s="154"/>
      <c r="C58" s="154"/>
      <c r="D58" s="154">
        <v>3</v>
      </c>
      <c r="E58" s="154">
        <v>0.72</v>
      </c>
      <c r="F58" s="154">
        <v>0.8</v>
      </c>
      <c r="G58" s="154"/>
      <c r="H58" s="115"/>
      <c r="I58" s="115"/>
      <c r="J58" s="115"/>
      <c r="K58" s="115"/>
      <c r="L58" s="115"/>
      <c r="M58" s="115"/>
      <c r="N58" s="115"/>
      <c r="O58" s="115"/>
      <c r="Q58" s="115"/>
      <c r="R58" s="115"/>
      <c r="S58" s="115"/>
    </row>
    <row r="59" spans="1:19">
      <c r="A59" s="154" t="s">
        <v>407</v>
      </c>
      <c r="B59" s="154"/>
      <c r="C59" s="154"/>
      <c r="D59" s="154">
        <v>4</v>
      </c>
      <c r="E59" s="154">
        <v>0.63</v>
      </c>
      <c r="F59" s="154">
        <v>0.8</v>
      </c>
      <c r="G59" s="154"/>
      <c r="H59" s="115"/>
      <c r="I59" s="115"/>
      <c r="J59" s="115"/>
      <c r="K59" s="115"/>
      <c r="L59" s="115"/>
      <c r="M59" s="115"/>
      <c r="N59" s="115"/>
      <c r="O59" s="115"/>
      <c r="Q59" s="115"/>
      <c r="R59" s="115"/>
      <c r="S59" s="115"/>
    </row>
    <row r="60" spans="1:19">
      <c r="A60" s="154" t="s">
        <v>408</v>
      </c>
      <c r="B60" s="154"/>
      <c r="C60" s="154"/>
      <c r="D60" s="154">
        <v>5</v>
      </c>
      <c r="E60" s="154">
        <v>0.68</v>
      </c>
      <c r="F60" s="154">
        <v>0.7</v>
      </c>
      <c r="G60" s="154"/>
      <c r="H60" s="115"/>
      <c r="I60" s="115"/>
      <c r="J60" s="115"/>
      <c r="K60" s="115"/>
      <c r="L60" s="115"/>
      <c r="M60" s="115"/>
      <c r="N60" s="115"/>
      <c r="O60" s="115"/>
      <c r="Q60" s="115"/>
      <c r="R60" s="115"/>
      <c r="S60" s="115"/>
    </row>
    <row r="61" spans="1:19">
      <c r="A61" s="154" t="s">
        <v>409</v>
      </c>
      <c r="B61" s="154"/>
      <c r="C61" s="154"/>
      <c r="D61" s="154">
        <v>6</v>
      </c>
      <c r="E61" s="154">
        <v>0.64</v>
      </c>
      <c r="F61" s="154">
        <v>0.7</v>
      </c>
      <c r="G61" s="154"/>
      <c r="H61" s="115"/>
      <c r="I61" s="115"/>
      <c r="J61" s="115"/>
      <c r="K61" s="115"/>
      <c r="L61" s="115"/>
      <c r="M61" s="115"/>
      <c r="N61" s="115"/>
      <c r="O61" s="115"/>
      <c r="Q61" s="115"/>
      <c r="R61" s="115"/>
      <c r="S61" s="115"/>
    </row>
    <row r="62" spans="1:19">
      <c r="A62" s="154" t="s">
        <v>410</v>
      </c>
      <c r="B62" s="154"/>
      <c r="C62" s="154"/>
      <c r="D62" s="154">
        <v>7</v>
      </c>
      <c r="E62" s="154">
        <v>0.56999999999999995</v>
      </c>
      <c r="F62" s="154">
        <v>0.7</v>
      </c>
      <c r="G62" s="154"/>
      <c r="H62" s="115"/>
      <c r="I62" s="115"/>
      <c r="J62" s="115"/>
      <c r="K62" s="115"/>
      <c r="L62" s="115"/>
      <c r="M62" s="115"/>
      <c r="N62" s="115"/>
      <c r="O62" s="115"/>
      <c r="Q62" s="115"/>
      <c r="R62" s="115"/>
      <c r="S62" s="115"/>
    </row>
    <row r="63" spans="1:19">
      <c r="A63" s="154" t="s">
        <v>250</v>
      </c>
      <c r="B63" s="154"/>
      <c r="C63" s="154"/>
      <c r="D63" s="154">
        <v>0</v>
      </c>
      <c r="E63" s="154">
        <v>0</v>
      </c>
      <c r="F63" s="154">
        <v>0</v>
      </c>
      <c r="G63" s="154"/>
      <c r="H63" s="115"/>
      <c r="I63" s="115"/>
      <c r="J63" s="115"/>
      <c r="K63" s="115"/>
      <c r="L63" s="115"/>
      <c r="M63" s="115"/>
      <c r="N63" s="115"/>
      <c r="O63" s="115"/>
      <c r="Q63" s="115"/>
      <c r="R63" s="115"/>
      <c r="S63" s="115"/>
    </row>
    <row r="65" spans="1:7" ht="13">
      <c r="A65" s="9" t="s">
        <v>411</v>
      </c>
      <c r="B65" s="154"/>
      <c r="C65" s="154"/>
      <c r="D65" s="154"/>
      <c r="E65" s="154"/>
      <c r="F65" s="154"/>
      <c r="G65" s="115"/>
    </row>
    <row r="66" spans="1:7">
      <c r="A66" s="154" t="s">
        <v>412</v>
      </c>
      <c r="B66" s="154"/>
      <c r="C66" s="154" t="s">
        <v>413</v>
      </c>
      <c r="D66" s="154" t="s">
        <v>305</v>
      </c>
      <c r="E66" s="154" t="s">
        <v>378</v>
      </c>
      <c r="F66" s="154" t="s">
        <v>414</v>
      </c>
      <c r="G66" s="154" t="s">
        <v>379</v>
      </c>
    </row>
    <row r="67" spans="1:7">
      <c r="A67" s="154" t="s">
        <v>415</v>
      </c>
      <c r="B67" s="154"/>
      <c r="C67" s="154" t="s">
        <v>416</v>
      </c>
      <c r="D67" s="154">
        <v>4</v>
      </c>
      <c r="E67" s="154">
        <v>0.3</v>
      </c>
      <c r="F67" s="154">
        <v>0.5</v>
      </c>
      <c r="G67" s="154">
        <v>0.5</v>
      </c>
    </row>
    <row r="68" spans="1:7">
      <c r="A68" s="154" t="s">
        <v>417</v>
      </c>
      <c r="B68" s="154"/>
      <c r="C68" s="154" t="s">
        <v>418</v>
      </c>
      <c r="D68" s="154">
        <v>3</v>
      </c>
      <c r="E68" s="154">
        <v>0.54</v>
      </c>
      <c r="F68" s="154">
        <v>0.7</v>
      </c>
      <c r="G68" s="154">
        <v>0.67</v>
      </c>
    </row>
    <row r="69" spans="1:7">
      <c r="A69" s="154" t="s">
        <v>419</v>
      </c>
      <c r="B69" s="154"/>
      <c r="C69" s="154" t="s">
        <v>420</v>
      </c>
      <c r="D69" s="154">
        <v>2</v>
      </c>
      <c r="E69" s="154">
        <v>0.77</v>
      </c>
      <c r="F69" s="154">
        <v>0.9</v>
      </c>
      <c r="G69" s="154">
        <v>0.83</v>
      </c>
    </row>
    <row r="70" spans="1:7">
      <c r="A70" s="154" t="s">
        <v>421</v>
      </c>
      <c r="B70" s="154"/>
      <c r="C70" s="154" t="s">
        <v>422</v>
      </c>
      <c r="D70" s="154">
        <v>1</v>
      </c>
      <c r="E70" s="154">
        <v>1</v>
      </c>
      <c r="F70" s="154">
        <v>1</v>
      </c>
      <c r="G70" s="154">
        <v>1</v>
      </c>
    </row>
    <row r="71" spans="1:7">
      <c r="A71" s="154" t="s">
        <v>250</v>
      </c>
      <c r="B71" s="115"/>
      <c r="C71" s="115"/>
      <c r="D71" s="115">
        <v>0</v>
      </c>
      <c r="E71" s="154">
        <v>0</v>
      </c>
      <c r="F71" s="154">
        <v>0</v>
      </c>
      <c r="G71" s="154">
        <v>0</v>
      </c>
    </row>
    <row r="73" spans="1:7" ht="13">
      <c r="A73" s="3" t="s">
        <v>423</v>
      </c>
      <c r="B73" s="115"/>
      <c r="C73" s="115"/>
      <c r="D73" s="115"/>
      <c r="E73" s="115"/>
      <c r="F73" s="115"/>
      <c r="G73" s="115"/>
    </row>
    <row r="74" spans="1:7" ht="13">
      <c r="A74" s="3" t="s">
        <v>424</v>
      </c>
      <c r="B74" s="115"/>
      <c r="C74" s="115"/>
      <c r="D74" s="115"/>
      <c r="E74" s="115"/>
      <c r="F74" s="115"/>
      <c r="G74" s="115"/>
    </row>
    <row r="75" spans="1:7">
      <c r="A75" s="115" t="s">
        <v>245</v>
      </c>
      <c r="B75" s="115"/>
      <c r="C75" s="115"/>
      <c r="D75" s="115"/>
      <c r="E75" s="115"/>
      <c r="F75" s="115"/>
      <c r="G75" s="115"/>
    </row>
    <row r="76" spans="1:7">
      <c r="A76" s="115" t="s">
        <v>246</v>
      </c>
      <c r="B76" s="115"/>
      <c r="C76" s="115"/>
      <c r="D76" s="115"/>
      <c r="E76" s="115"/>
      <c r="F76" s="115"/>
      <c r="G76" s="115"/>
    </row>
    <row r="77" spans="1:7">
      <c r="A77" s="115" t="s">
        <v>250</v>
      </c>
      <c r="B77" s="115"/>
      <c r="C77" s="115"/>
      <c r="D77" s="115"/>
      <c r="E77" s="115"/>
      <c r="F77" s="115"/>
      <c r="G77" s="115"/>
    </row>
    <row r="79" spans="1:7" ht="25.5" customHeight="1">
      <c r="A79" s="115" t="s">
        <v>425</v>
      </c>
      <c r="B79" s="115"/>
      <c r="C79" s="207"/>
      <c r="D79" s="207"/>
      <c r="E79" s="115" t="s">
        <v>426</v>
      </c>
      <c r="F79" s="115"/>
      <c r="G79" s="115"/>
    </row>
    <row r="80" spans="1:7">
      <c r="A80" s="115" t="s">
        <v>427</v>
      </c>
      <c r="B80" s="115"/>
      <c r="C80" s="115"/>
      <c r="D80" s="115"/>
      <c r="E80" s="115">
        <v>0.8</v>
      </c>
      <c r="F80" s="115"/>
      <c r="G80" s="115"/>
    </row>
    <row r="81" spans="1:5">
      <c r="A81" s="115" t="s">
        <v>428</v>
      </c>
      <c r="B81" s="115"/>
      <c r="C81" s="115"/>
      <c r="D81" s="115"/>
      <c r="E81" s="115">
        <v>0.9</v>
      </c>
    </row>
    <row r="82" spans="1:5">
      <c r="A82" s="115" t="s">
        <v>429</v>
      </c>
      <c r="B82" s="115"/>
      <c r="C82" s="115"/>
      <c r="D82" s="115"/>
      <c r="E82" s="115">
        <v>0.85</v>
      </c>
    </row>
    <row r="83" spans="1:5">
      <c r="A83" s="115" t="s">
        <v>430</v>
      </c>
      <c r="B83" s="115"/>
      <c r="C83" s="115"/>
      <c r="D83" s="115"/>
      <c r="E83" s="115">
        <v>0.6</v>
      </c>
    </row>
    <row r="84" spans="1:5">
      <c r="A84" s="115" t="s">
        <v>431</v>
      </c>
      <c r="B84" s="115"/>
      <c r="C84" s="115"/>
      <c r="D84" s="115"/>
      <c r="E84" s="115">
        <v>0.88</v>
      </c>
    </row>
    <row r="85" spans="1:5">
      <c r="A85" s="115" t="s">
        <v>432</v>
      </c>
      <c r="B85" s="115"/>
      <c r="C85" s="115"/>
      <c r="D85" s="115"/>
      <c r="E85" s="115">
        <v>0.7</v>
      </c>
    </row>
    <row r="86" spans="1:5">
      <c r="A86" s="115" t="s">
        <v>433</v>
      </c>
      <c r="B86" s="115"/>
      <c r="C86" s="115"/>
      <c r="D86" s="115"/>
      <c r="E86" s="115">
        <v>0.24</v>
      </c>
    </row>
    <row r="87" spans="1:5">
      <c r="A87" s="115" t="s">
        <v>434</v>
      </c>
      <c r="B87" s="115"/>
      <c r="C87" s="115"/>
      <c r="D87" s="115"/>
      <c r="E87" s="115">
        <v>0.27</v>
      </c>
    </row>
    <row r="88" spans="1:5">
      <c r="A88" s="115" t="s">
        <v>435</v>
      </c>
      <c r="B88" s="115"/>
      <c r="C88" s="115"/>
      <c r="D88" s="115"/>
      <c r="E88" s="115">
        <v>0.85</v>
      </c>
    </row>
    <row r="89" spans="1:5">
      <c r="A89" s="115" t="s">
        <v>436</v>
      </c>
      <c r="B89" s="115"/>
      <c r="C89" s="115"/>
      <c r="D89" s="115"/>
      <c r="E89" s="115">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Normal="100" workbookViewId="0">
      <selection activeCell="G26" sqref="G26"/>
    </sheetView>
  </sheetViews>
  <sheetFormatPr defaultRowHeight="12.5"/>
  <cols>
    <col min="1" max="11" width="9.1796875" style="7"/>
    <col min="12" max="12" width="18.453125" style="7" customWidth="1"/>
    <col min="13" max="13" width="9.1796875" style="7"/>
    <col min="14" max="14" width="12.54296875" style="7" bestFit="1" customWidth="1"/>
    <col min="15" max="15" width="9.1796875" style="7" customWidth="1"/>
    <col min="16" max="16" width="9.1796875" style="515" customWidth="1"/>
    <col min="17" max="17" width="9.1796875" style="510" customWidth="1"/>
  </cols>
  <sheetData>
    <row r="1" spans="1:19" s="1" customFormat="1" ht="18" customHeight="1">
      <c r="A1" s="12" t="s">
        <v>437</v>
      </c>
      <c r="B1" s="14"/>
      <c r="C1" s="381"/>
      <c r="D1" s="381"/>
      <c r="E1" s="381"/>
      <c r="F1" s="15"/>
      <c r="G1" s="15"/>
      <c r="H1" s="381"/>
      <c r="I1" s="381"/>
      <c r="J1" s="381"/>
      <c r="K1" s="381"/>
      <c r="L1" s="381"/>
      <c r="M1" s="154"/>
      <c r="P1" s="687" t="s">
        <v>270</v>
      </c>
      <c r="Q1" s="687"/>
    </row>
    <row r="2" spans="1:19" ht="13">
      <c r="A2" s="115" t="s">
        <v>438</v>
      </c>
      <c r="B2" s="9"/>
      <c r="C2" s="154"/>
      <c r="D2" s="115"/>
      <c r="E2" s="115"/>
      <c r="F2" s="115"/>
      <c r="G2" s="115"/>
      <c r="H2" s="115"/>
      <c r="I2" s="115"/>
      <c r="J2" s="115"/>
      <c r="K2" s="154"/>
      <c r="L2" s="154"/>
      <c r="M2" s="115"/>
      <c r="N2" s="115"/>
      <c r="O2" s="115"/>
      <c r="P2" s="506"/>
      <c r="Q2" s="509"/>
    </row>
    <row r="3" spans="1:19" ht="13">
      <c r="A3" s="154" t="s">
        <v>439</v>
      </c>
      <c r="B3" s="9"/>
      <c r="C3" s="154"/>
      <c r="D3" s="155" t="s">
        <v>255</v>
      </c>
      <c r="E3" s="155" t="s">
        <v>440</v>
      </c>
      <c r="F3" s="155" t="s">
        <v>441</v>
      </c>
      <c r="G3" s="154" t="s">
        <v>442</v>
      </c>
      <c r="H3" s="154"/>
      <c r="I3" s="154"/>
      <c r="J3" s="154" t="s">
        <v>443</v>
      </c>
      <c r="K3" s="154"/>
      <c r="L3" s="154"/>
      <c r="M3" s="115" t="s">
        <v>305</v>
      </c>
      <c r="N3" s="115"/>
      <c r="O3" s="115"/>
      <c r="P3" s="506"/>
    </row>
    <row r="4" spans="1:19" ht="14.5">
      <c r="A4" s="154" t="s">
        <v>206</v>
      </c>
      <c r="B4" s="154"/>
      <c r="C4" s="154"/>
      <c r="D4" s="155" t="s">
        <v>258</v>
      </c>
      <c r="E4" s="155" t="s">
        <v>444</v>
      </c>
      <c r="F4" s="155" t="s">
        <v>445</v>
      </c>
      <c r="G4" s="154" t="s">
        <v>206</v>
      </c>
      <c r="H4" s="154"/>
      <c r="I4" s="154"/>
      <c r="J4" s="154" t="s">
        <v>446</v>
      </c>
      <c r="K4" s="154"/>
      <c r="L4" s="154"/>
      <c r="M4" s="115"/>
      <c r="N4" s="115"/>
      <c r="O4" s="115"/>
      <c r="P4" s="506" t="s">
        <v>255</v>
      </c>
      <c r="Q4" s="506" t="s">
        <v>447</v>
      </c>
    </row>
    <row r="5" spans="1:19">
      <c r="A5" s="154" t="s">
        <v>448</v>
      </c>
      <c r="B5" s="154"/>
      <c r="C5" s="154"/>
      <c r="D5" s="395">
        <f>Win!N6</f>
        <v>29.599999999999998</v>
      </c>
      <c r="E5" s="401">
        <f>IF(D5=0,0,F5/D5)</f>
        <v>0.86872586872586854</v>
      </c>
      <c r="F5" s="395">
        <f>Win!N19</f>
        <v>25.714285714285708</v>
      </c>
      <c r="G5" s="154"/>
      <c r="H5" s="115"/>
      <c r="I5" s="154"/>
      <c r="J5" s="154"/>
      <c r="K5" s="154"/>
      <c r="L5" s="115"/>
      <c r="M5" s="115"/>
      <c r="N5" s="115"/>
      <c r="O5" s="115"/>
      <c r="P5" s="511">
        <f>Win!P6</f>
        <v>29.65</v>
      </c>
      <c r="Q5" s="511">
        <f>Win!P18</f>
        <v>2.0220588235294121</v>
      </c>
    </row>
    <row r="6" spans="1:19">
      <c r="A6" s="154" t="s">
        <v>449</v>
      </c>
      <c r="B6" s="154"/>
      <c r="C6" s="154"/>
      <c r="D6" s="662">
        <v>1.85</v>
      </c>
      <c r="E6" s="662">
        <v>1.5</v>
      </c>
      <c r="F6" s="396">
        <f t="shared" ref="F6:F19" si="0">D6*E6</f>
        <v>2.7750000000000004</v>
      </c>
      <c r="G6" s="384"/>
      <c r="H6" s="154"/>
      <c r="I6" s="154"/>
      <c r="J6" s="154"/>
      <c r="K6" s="154"/>
      <c r="L6" s="115"/>
      <c r="M6" s="115"/>
      <c r="N6" s="115"/>
      <c r="O6" s="115"/>
      <c r="P6" s="506">
        <v>1.85</v>
      </c>
      <c r="Q6" s="506">
        <v>3</v>
      </c>
    </row>
    <row r="7" spans="1:19">
      <c r="A7" s="154" t="s">
        <v>450</v>
      </c>
      <c r="B7" s="154"/>
      <c r="C7" s="154"/>
      <c r="D7" s="662">
        <v>63</v>
      </c>
      <c r="E7" s="662">
        <v>0.14000000000000001</v>
      </c>
      <c r="F7" s="396">
        <f t="shared" si="0"/>
        <v>8.82</v>
      </c>
      <c r="G7" s="384"/>
      <c r="H7" s="154"/>
      <c r="I7" s="154"/>
      <c r="J7" s="685" t="s">
        <v>451</v>
      </c>
      <c r="K7" s="689"/>
      <c r="L7" s="689"/>
      <c r="M7" s="115">
        <f>VLOOKUP(J7,$B$56:$E$58,4,FALSE)</f>
        <v>1</v>
      </c>
      <c r="N7" s="115"/>
      <c r="O7" s="115"/>
      <c r="P7" s="511">
        <f>E77</f>
        <v>63</v>
      </c>
      <c r="Q7" s="506">
        <v>0.25</v>
      </c>
      <c r="S7" s="363" t="s">
        <v>206</v>
      </c>
    </row>
    <row r="8" spans="1:19">
      <c r="A8" s="154" t="s">
        <v>452</v>
      </c>
      <c r="B8" s="154"/>
      <c r="C8" s="154"/>
      <c r="D8" s="662"/>
      <c r="E8" s="662"/>
      <c r="F8" s="396">
        <f>D8*E8</f>
        <v>0</v>
      </c>
      <c r="G8" s="384"/>
      <c r="H8" s="154"/>
      <c r="I8" s="154"/>
      <c r="J8" s="685" t="s">
        <v>451</v>
      </c>
      <c r="K8" s="689"/>
      <c r="L8" s="689"/>
      <c r="M8" s="115">
        <f>VLOOKUP(J8,$B$56:$E$58,4,FALSE)</f>
        <v>1</v>
      </c>
      <c r="N8" s="115"/>
      <c r="O8" s="115"/>
      <c r="P8" s="506"/>
      <c r="Q8" s="506"/>
      <c r="S8" s="363" t="s">
        <v>206</v>
      </c>
    </row>
    <row r="9" spans="1:19">
      <c r="A9" s="154" t="s">
        <v>453</v>
      </c>
      <c r="B9" s="154"/>
      <c r="C9" s="154"/>
      <c r="D9" s="662"/>
      <c r="E9" s="662"/>
      <c r="F9" s="396">
        <f>D9*E9</f>
        <v>0</v>
      </c>
      <c r="G9" s="384"/>
      <c r="H9" s="154"/>
      <c r="I9" s="154"/>
      <c r="J9" s="685" t="s">
        <v>451</v>
      </c>
      <c r="K9" s="689"/>
      <c r="L9" s="689"/>
      <c r="M9" s="115">
        <f>VLOOKUP(J9,$B$56:$E$58,4,FALSE)</f>
        <v>1</v>
      </c>
      <c r="N9" s="115"/>
      <c r="O9" s="115"/>
      <c r="P9" s="506"/>
      <c r="Q9" s="506"/>
    </row>
    <row r="10" spans="1:19">
      <c r="A10" s="154" t="s">
        <v>454</v>
      </c>
      <c r="B10" s="154"/>
      <c r="C10" s="154"/>
      <c r="D10" s="662">
        <v>85.7</v>
      </c>
      <c r="E10" s="662">
        <v>0.13</v>
      </c>
      <c r="F10" s="396">
        <f t="shared" si="0"/>
        <v>11.141</v>
      </c>
      <c r="G10" s="384"/>
      <c r="H10" s="154"/>
      <c r="I10" s="154"/>
      <c r="J10" s="690" t="s">
        <v>455</v>
      </c>
      <c r="K10" s="691"/>
      <c r="L10" s="691"/>
      <c r="M10" s="115">
        <f>VLOOKUP(J10,$A$85:$B$86,2,FALSE)</f>
        <v>1</v>
      </c>
      <c r="N10" s="115"/>
      <c r="O10" s="115"/>
      <c r="P10" s="511">
        <f>MAX(E75-SUM(P5:P6),0)</f>
        <v>85.649999999999991</v>
      </c>
      <c r="Q10" s="506">
        <v>0.27</v>
      </c>
    </row>
    <row r="11" spans="1:19">
      <c r="A11" s="154" t="s">
        <v>456</v>
      </c>
      <c r="B11" s="154"/>
      <c r="C11" s="154"/>
      <c r="D11" s="662"/>
      <c r="E11" s="662"/>
      <c r="F11" s="396">
        <f t="shared" si="0"/>
        <v>0</v>
      </c>
      <c r="G11" s="384"/>
      <c r="H11" s="154"/>
      <c r="I11" s="154"/>
      <c r="J11" s="690" t="s">
        <v>455</v>
      </c>
      <c r="K11" s="691"/>
      <c r="L11" s="691"/>
      <c r="M11" s="115">
        <f>VLOOKUP(J11,$A$85:$B$86,2,FALSE)</f>
        <v>1</v>
      </c>
      <c r="N11" s="115"/>
      <c r="O11" s="115"/>
      <c r="P11" s="511"/>
      <c r="Q11" s="506"/>
    </row>
    <row r="12" spans="1:19">
      <c r="A12" s="154" t="s">
        <v>457</v>
      </c>
      <c r="B12" s="154"/>
      <c r="C12" s="154"/>
      <c r="D12" s="662"/>
      <c r="E12" s="662"/>
      <c r="F12" s="396">
        <f t="shared" si="0"/>
        <v>0</v>
      </c>
      <c r="G12" s="384"/>
      <c r="H12" s="154"/>
      <c r="I12" s="154"/>
      <c r="J12" s="690" t="s">
        <v>455</v>
      </c>
      <c r="K12" s="691"/>
      <c r="L12" s="691"/>
      <c r="M12" s="115">
        <f>VLOOKUP(J12,$A$85:$B$86,2,FALSE)</f>
        <v>1</v>
      </c>
      <c r="N12" s="115"/>
      <c r="O12" s="115"/>
      <c r="P12" s="511"/>
      <c r="Q12" s="506"/>
    </row>
    <row r="13" spans="1:19">
      <c r="A13" s="154" t="s">
        <v>458</v>
      </c>
      <c r="B13" s="154"/>
      <c r="C13" s="154"/>
      <c r="D13" s="662"/>
      <c r="E13" s="662"/>
      <c r="F13" s="396">
        <f t="shared" si="0"/>
        <v>0</v>
      </c>
      <c r="G13" s="384"/>
      <c r="H13" s="154"/>
      <c r="I13" s="154"/>
      <c r="J13" s="690" t="s">
        <v>455</v>
      </c>
      <c r="K13" s="691"/>
      <c r="L13" s="691"/>
      <c r="M13" s="115">
        <f>VLOOKUP(J13,$A$85:$B$86,2,FALSE)</f>
        <v>1</v>
      </c>
      <c r="N13" s="115"/>
      <c r="O13" s="115"/>
      <c r="P13" s="511"/>
      <c r="Q13" s="506"/>
    </row>
    <row r="14" spans="1:19">
      <c r="A14" s="154" t="s">
        <v>459</v>
      </c>
      <c r="B14" s="154"/>
      <c r="C14" s="154"/>
      <c r="D14" s="662"/>
      <c r="E14" s="662"/>
      <c r="F14" s="396">
        <f t="shared" si="0"/>
        <v>0</v>
      </c>
      <c r="G14" s="384"/>
      <c r="H14" s="154"/>
      <c r="I14" s="154"/>
      <c r="J14" s="690" t="s">
        <v>455</v>
      </c>
      <c r="K14" s="691"/>
      <c r="L14" s="691"/>
      <c r="M14" s="115">
        <f>VLOOKUP(J14,$A$85:$B$86,2,FALSE)</f>
        <v>1</v>
      </c>
      <c r="N14" s="115"/>
      <c r="O14" s="115"/>
      <c r="P14" s="511"/>
      <c r="Q14" s="506"/>
    </row>
    <row r="15" spans="1:19">
      <c r="A15" s="154" t="s">
        <v>460</v>
      </c>
      <c r="B15" s="154"/>
      <c r="C15" s="154"/>
      <c r="D15" s="662">
        <v>63</v>
      </c>
      <c r="E15" s="662">
        <v>0.11</v>
      </c>
      <c r="F15" s="396">
        <f t="shared" si="0"/>
        <v>6.93</v>
      </c>
      <c r="G15" s="384"/>
      <c r="H15" s="154"/>
      <c r="I15" s="154"/>
      <c r="J15" s="688" t="s">
        <v>461</v>
      </c>
      <c r="K15" s="689"/>
      <c r="L15" s="689"/>
      <c r="M15" s="115">
        <f>VLOOKUP(J15,$B$50:$E$53,4,FALSE)</f>
        <v>1</v>
      </c>
      <c r="N15" s="115"/>
      <c r="O15" s="115"/>
      <c r="P15" s="511">
        <f>E76-G82</f>
        <v>63</v>
      </c>
      <c r="Q15" s="506">
        <v>0.16</v>
      </c>
    </row>
    <row r="16" spans="1:19">
      <c r="A16" s="154" t="s">
        <v>462</v>
      </c>
      <c r="B16" s="154"/>
      <c r="C16" s="154"/>
      <c r="D16" s="662">
        <v>0</v>
      </c>
      <c r="E16" s="662">
        <v>0</v>
      </c>
      <c r="F16" s="396">
        <f t="shared" si="0"/>
        <v>0</v>
      </c>
      <c r="G16" s="384"/>
      <c r="H16" s="154"/>
      <c r="I16" s="154"/>
      <c r="J16" s="688" t="s">
        <v>461</v>
      </c>
      <c r="K16" s="689"/>
      <c r="L16" s="689"/>
      <c r="M16" s="115">
        <f>VLOOKUP(J16,$B$50:$E$53,4,FALSE)</f>
        <v>1</v>
      </c>
      <c r="N16" s="115"/>
      <c r="O16" s="115"/>
      <c r="P16" s="506"/>
    </row>
    <row r="17" spans="1:19">
      <c r="A17" s="154" t="s">
        <v>463</v>
      </c>
      <c r="B17" s="154"/>
      <c r="C17" s="154"/>
      <c r="D17" s="382"/>
      <c r="E17" s="382"/>
      <c r="F17" s="396">
        <f t="shared" si="0"/>
        <v>0</v>
      </c>
      <c r="G17" s="384"/>
      <c r="H17" s="154"/>
      <c r="I17" s="154"/>
      <c r="J17" s="688" t="s">
        <v>461</v>
      </c>
      <c r="K17" s="689"/>
      <c r="L17" s="689"/>
      <c r="M17" s="115">
        <f>VLOOKUP(J17,$B$50:$E$53,4,FALSE)</f>
        <v>1</v>
      </c>
      <c r="N17" s="115"/>
      <c r="O17" s="115"/>
      <c r="P17" s="506"/>
    </row>
    <row r="18" spans="1:19">
      <c r="A18" s="154" t="s">
        <v>464</v>
      </c>
      <c r="B18" s="154"/>
      <c r="C18" s="154"/>
      <c r="D18" s="382"/>
      <c r="E18" s="382"/>
      <c r="F18" s="396">
        <f t="shared" si="0"/>
        <v>0</v>
      </c>
      <c r="G18" s="384"/>
      <c r="H18" s="154"/>
      <c r="I18" s="154"/>
      <c r="J18" s="688" t="s">
        <v>461</v>
      </c>
      <c r="K18" s="689"/>
      <c r="L18" s="689"/>
      <c r="M18" s="115">
        <f>VLOOKUP(J18,$B$50:$E$53,4,FALSE)</f>
        <v>1</v>
      </c>
      <c r="N18" s="115"/>
      <c r="O18" s="115"/>
      <c r="P18" s="506"/>
    </row>
    <row r="19" spans="1:19">
      <c r="A19" s="154" t="s">
        <v>465</v>
      </c>
      <c r="B19" s="154"/>
      <c r="C19" s="154"/>
      <c r="D19" s="382"/>
      <c r="E19" s="382"/>
      <c r="F19" s="396">
        <f t="shared" si="0"/>
        <v>0</v>
      </c>
      <c r="G19" s="384"/>
      <c r="H19" s="154"/>
      <c r="I19" s="154"/>
      <c r="J19" s="688" t="s">
        <v>461</v>
      </c>
      <c r="K19" s="689"/>
      <c r="L19" s="689"/>
      <c r="M19" s="115">
        <f>VLOOKUP(J19,$B$50:$E$53,4,FALSE)</f>
        <v>1</v>
      </c>
      <c r="N19" s="115"/>
      <c r="O19" s="115"/>
      <c r="P19" s="506"/>
    </row>
    <row r="20" spans="1:19" ht="14.5">
      <c r="A20" s="154" t="s">
        <v>466</v>
      </c>
      <c r="B20" s="154"/>
      <c r="C20" s="154"/>
      <c r="D20" s="387">
        <f>SUM(D5:D19)</f>
        <v>243.15</v>
      </c>
      <c r="E20" s="155"/>
      <c r="F20" s="155"/>
      <c r="G20" s="154"/>
      <c r="H20" s="154"/>
      <c r="I20" s="154"/>
      <c r="J20" s="404"/>
      <c r="K20" s="154"/>
      <c r="L20" s="154"/>
      <c r="M20" s="115"/>
      <c r="N20" s="115"/>
      <c r="O20" s="115"/>
      <c r="P20" s="503" t="str">
        <f>IF(D20=SUM(P5:P15),"Ok","Mismatch?")</f>
        <v>Ok</v>
      </c>
    </row>
    <row r="21" spans="1:19">
      <c r="A21" s="154" t="s">
        <v>467</v>
      </c>
      <c r="B21" s="154"/>
      <c r="C21" s="154"/>
      <c r="D21" s="155"/>
      <c r="E21" s="155"/>
      <c r="F21" s="157">
        <f>SUM(F5:F19)</f>
        <v>55.380285714285705</v>
      </c>
      <c r="G21" s="154"/>
      <c r="H21" s="154"/>
      <c r="I21" s="154"/>
      <c r="J21" s="404"/>
      <c r="K21" s="154"/>
      <c r="L21" s="154"/>
      <c r="M21" s="115"/>
      <c r="N21" s="115"/>
      <c r="O21" s="115"/>
      <c r="P21" s="509">
        <f>SUMPRODUCT(P5:P15,Q5:Q15)</f>
        <v>114.45954411764707</v>
      </c>
    </row>
    <row r="22" spans="1:19" ht="14.5">
      <c r="A22" s="154" t="s">
        <v>468</v>
      </c>
      <c r="B22" s="154"/>
      <c r="C22" s="154"/>
      <c r="D22" s="155"/>
      <c r="E22" s="155"/>
      <c r="F22" s="115"/>
      <c r="G22" s="405">
        <v>0.05</v>
      </c>
      <c r="H22" s="115"/>
      <c r="I22" s="115"/>
      <c r="J22" s="404"/>
      <c r="K22" s="154"/>
      <c r="L22" s="154"/>
      <c r="M22" s="115"/>
      <c r="N22" s="115"/>
      <c r="O22" s="115"/>
      <c r="P22" s="510">
        <v>0.11</v>
      </c>
    </row>
    <row r="23" spans="1:19">
      <c r="A23" s="154" t="s">
        <v>469</v>
      </c>
      <c r="B23" s="154"/>
      <c r="C23" s="154"/>
      <c r="D23" s="155"/>
      <c r="E23" s="155"/>
      <c r="F23" s="157">
        <f>G22*D20</f>
        <v>12.157500000000001</v>
      </c>
      <c r="G23" s="404"/>
      <c r="H23" s="154"/>
      <c r="I23" s="115"/>
      <c r="J23" s="404"/>
      <c r="K23" s="154"/>
      <c r="L23" s="154"/>
      <c r="M23" s="115"/>
      <c r="N23" s="115"/>
      <c r="O23" s="115"/>
      <c r="P23" s="504">
        <f>P22*D20</f>
        <v>26.746500000000001</v>
      </c>
      <c r="S23" s="363" t="s">
        <v>206</v>
      </c>
    </row>
    <row r="24" spans="1:19" ht="13">
      <c r="A24" s="154" t="s">
        <v>470</v>
      </c>
      <c r="B24" s="154"/>
      <c r="C24" s="154"/>
      <c r="D24" s="155"/>
      <c r="E24" s="155"/>
      <c r="F24" s="45">
        <f>F21+F23</f>
        <v>67.537785714285704</v>
      </c>
      <c r="G24" s="154"/>
      <c r="H24" s="154"/>
      <c r="I24" s="154"/>
      <c r="J24" s="406"/>
      <c r="K24" s="154"/>
      <c r="L24" s="154"/>
      <c r="M24" s="115"/>
      <c r="N24" s="115"/>
      <c r="O24" s="115"/>
      <c r="P24" s="512">
        <f>P21+P23</f>
        <v>141.20604411764708</v>
      </c>
    </row>
    <row r="25" spans="1:19">
      <c r="A25" s="154"/>
      <c r="B25" s="154"/>
      <c r="C25" s="154"/>
      <c r="D25" s="155"/>
      <c r="E25" s="155"/>
      <c r="F25" s="155"/>
      <c r="G25" s="115"/>
      <c r="H25" s="154"/>
      <c r="I25" s="154"/>
      <c r="J25" s="154"/>
      <c r="K25" s="154"/>
      <c r="L25" s="154"/>
      <c r="M25" s="115"/>
      <c r="N25" s="115"/>
      <c r="O25" s="115"/>
      <c r="P25" s="510"/>
    </row>
    <row r="26" spans="1:19" ht="13">
      <c r="A26" s="3" t="s">
        <v>471</v>
      </c>
      <c r="B26" s="115"/>
      <c r="C26" s="115"/>
      <c r="D26" s="386"/>
      <c r="E26" s="386"/>
      <c r="F26" s="386"/>
      <c r="G26" s="115"/>
      <c r="H26" s="115"/>
      <c r="I26" s="115"/>
      <c r="J26" s="115"/>
      <c r="K26" s="115"/>
      <c r="L26" s="115"/>
      <c r="M26" s="115"/>
      <c r="N26" s="115"/>
      <c r="O26" s="115"/>
      <c r="P26" s="510"/>
    </row>
    <row r="27" spans="1:19" ht="13">
      <c r="A27" s="154" t="s">
        <v>472</v>
      </c>
      <c r="B27" s="154"/>
      <c r="C27" s="154"/>
      <c r="D27" s="155"/>
      <c r="E27" s="155"/>
      <c r="F27" s="46">
        <f>F24+Vent!G34</f>
        <v>126.47930714821428</v>
      </c>
      <c r="G27" s="115"/>
      <c r="H27" s="115"/>
      <c r="I27" s="115"/>
      <c r="J27" s="115" t="s">
        <v>473</v>
      </c>
      <c r="K27" s="115"/>
      <c r="L27" s="115"/>
      <c r="M27" s="115"/>
      <c r="N27" s="115"/>
      <c r="O27" s="115"/>
      <c r="P27" s="513">
        <f>P24+Vent!P34</f>
        <v>216.80461248882764</v>
      </c>
    </row>
    <row r="28" spans="1:19" ht="15">
      <c r="A28" s="154" t="s">
        <v>474</v>
      </c>
      <c r="B28" s="154"/>
      <c r="C28" s="154"/>
      <c r="D28" s="155"/>
      <c r="E28" s="155"/>
      <c r="F28" s="47">
        <f>IF(tfa=0,0,hlc/tfa)</f>
        <v>1.0038040249858275</v>
      </c>
      <c r="G28" s="115"/>
      <c r="H28" s="115"/>
      <c r="I28" s="115"/>
      <c r="J28" s="115" t="s">
        <v>475</v>
      </c>
      <c r="K28" s="392">
        <f>Fab!F24</f>
        <v>67.537785714285704</v>
      </c>
      <c r="L28" s="115"/>
      <c r="M28" s="115"/>
      <c r="N28" s="115"/>
      <c r="O28" s="115"/>
      <c r="P28" s="514"/>
    </row>
    <row r="29" spans="1:19">
      <c r="A29" s="115"/>
      <c r="B29" s="115"/>
      <c r="C29" s="115"/>
      <c r="D29" s="115"/>
      <c r="E29" s="115"/>
      <c r="F29" s="115"/>
      <c r="G29" s="115"/>
      <c r="H29" s="115"/>
      <c r="I29" s="115"/>
      <c r="J29" s="115" t="s">
        <v>476</v>
      </c>
      <c r="K29" s="392">
        <f>Vent!G34</f>
        <v>58.941521433928571</v>
      </c>
      <c r="L29" s="115"/>
      <c r="M29" s="115"/>
      <c r="N29" s="115"/>
      <c r="O29" s="115"/>
      <c r="P29" s="506"/>
    </row>
    <row r="30" spans="1:19">
      <c r="A30" s="115"/>
      <c r="B30" s="115"/>
      <c r="C30" s="115"/>
      <c r="D30" s="115"/>
      <c r="E30" s="115"/>
      <c r="F30" s="115"/>
      <c r="G30" s="115"/>
      <c r="H30" s="115"/>
      <c r="I30" s="115"/>
      <c r="J30" s="115"/>
      <c r="K30" s="115"/>
      <c r="L30" s="392"/>
      <c r="M30" s="115"/>
      <c r="N30" s="115"/>
      <c r="O30" s="115"/>
      <c r="P30" s="506"/>
    </row>
    <row r="31" spans="1:19">
      <c r="A31" s="115"/>
      <c r="B31" s="115"/>
      <c r="C31" s="115"/>
      <c r="D31" s="115"/>
      <c r="E31" s="115"/>
      <c r="F31" s="115"/>
      <c r="G31" s="115"/>
      <c r="H31" s="115"/>
      <c r="I31" s="115"/>
      <c r="J31" s="115"/>
      <c r="K31" s="115"/>
      <c r="L31" s="392"/>
      <c r="M31" s="115"/>
      <c r="N31" s="115"/>
      <c r="O31" s="115"/>
      <c r="P31" s="506"/>
    </row>
    <row r="32" spans="1:19">
      <c r="A32" s="115"/>
      <c r="B32" s="115"/>
      <c r="C32" s="115"/>
      <c r="D32" s="115"/>
      <c r="E32" s="115"/>
      <c r="F32" s="115"/>
      <c r="G32" s="115"/>
      <c r="H32" s="115"/>
      <c r="I32" s="115"/>
      <c r="J32" s="115"/>
      <c r="K32" s="115"/>
      <c r="L32" s="392"/>
      <c r="M32" s="115"/>
      <c r="N32" s="115"/>
      <c r="O32" s="115"/>
      <c r="P32" s="506"/>
    </row>
    <row r="33" spans="1:15">
      <c r="A33" s="115"/>
      <c r="B33" s="115"/>
      <c r="C33" s="115"/>
      <c r="D33" s="115"/>
      <c r="E33" s="115"/>
      <c r="F33" s="115"/>
      <c r="G33" s="115"/>
      <c r="H33" s="115"/>
      <c r="I33" s="115"/>
      <c r="J33" s="115"/>
      <c r="K33" s="115"/>
      <c r="L33" s="392"/>
      <c r="M33" s="115"/>
      <c r="N33" s="115"/>
      <c r="O33" s="115"/>
    </row>
    <row r="34" spans="1:15">
      <c r="A34" s="115"/>
      <c r="B34" s="115"/>
      <c r="C34" s="115"/>
      <c r="D34" s="115"/>
      <c r="E34" s="115"/>
      <c r="F34" s="115"/>
      <c r="G34" s="115"/>
      <c r="H34" s="115"/>
      <c r="I34" s="154" t="s">
        <v>473</v>
      </c>
      <c r="J34" s="115"/>
      <c r="K34" s="115"/>
      <c r="L34" s="392"/>
      <c r="M34" s="115"/>
      <c r="N34" s="115"/>
      <c r="O34" s="115"/>
    </row>
    <row r="35" spans="1:15">
      <c r="A35" s="115"/>
      <c r="B35" s="115"/>
      <c r="C35" s="115"/>
      <c r="D35" s="115"/>
      <c r="E35" s="115"/>
      <c r="F35" s="115"/>
      <c r="G35" s="115"/>
      <c r="H35" s="115"/>
      <c r="I35" s="154" t="s">
        <v>477</v>
      </c>
      <c r="J35" s="114">
        <f>SUM(F7:F9)</f>
        <v>8.82</v>
      </c>
      <c r="K35" s="115"/>
      <c r="L35" s="392"/>
      <c r="M35" s="115"/>
      <c r="N35" s="115"/>
      <c r="O35" s="115"/>
    </row>
    <row r="36" spans="1:15">
      <c r="A36" s="115"/>
      <c r="B36" s="115"/>
      <c r="C36" s="115"/>
      <c r="D36" s="115"/>
      <c r="E36" s="115"/>
      <c r="F36" s="115"/>
      <c r="G36" s="115"/>
      <c r="H36" s="115"/>
      <c r="I36" s="154" t="s">
        <v>454</v>
      </c>
      <c r="J36" s="114">
        <f>SUM(F10:F14)</f>
        <v>11.141</v>
      </c>
      <c r="K36" s="115"/>
      <c r="L36" s="392"/>
      <c r="M36" s="115"/>
      <c r="N36" s="115"/>
      <c r="O36" s="115"/>
    </row>
    <row r="37" spans="1:15">
      <c r="A37" s="115"/>
      <c r="B37" s="115"/>
      <c r="C37" s="115"/>
      <c r="D37" s="115"/>
      <c r="E37" s="115"/>
      <c r="F37" s="115"/>
      <c r="G37" s="115"/>
      <c r="H37" s="115"/>
      <c r="I37" s="154" t="s">
        <v>478</v>
      </c>
      <c r="J37" s="114">
        <f>SUM(F15:F19)</f>
        <v>6.93</v>
      </c>
      <c r="K37" s="115"/>
      <c r="L37" s="392"/>
      <c r="M37" s="115"/>
      <c r="N37" s="115"/>
      <c r="O37" s="115"/>
    </row>
    <row r="38" spans="1:15">
      <c r="A38" s="115"/>
      <c r="B38" s="115"/>
      <c r="C38" s="115"/>
      <c r="D38" s="115"/>
      <c r="E38" s="115"/>
      <c r="F38" s="115"/>
      <c r="G38" s="115"/>
      <c r="H38" s="115"/>
      <c r="I38" s="154" t="s">
        <v>271</v>
      </c>
      <c r="J38" s="114">
        <f>SUM(F5:F6)</f>
        <v>28.489285714285707</v>
      </c>
      <c r="K38" s="115"/>
      <c r="L38" s="392"/>
      <c r="M38" s="115"/>
      <c r="N38" s="115"/>
      <c r="O38" s="115"/>
    </row>
    <row r="39" spans="1:15">
      <c r="A39" s="115"/>
      <c r="B39" s="115"/>
      <c r="C39" s="115"/>
      <c r="D39" s="115"/>
      <c r="E39" s="115"/>
      <c r="F39" s="115"/>
      <c r="G39" s="115"/>
      <c r="H39" s="115"/>
      <c r="I39" s="154" t="s">
        <v>479</v>
      </c>
      <c r="J39" s="392">
        <f>F23</f>
        <v>12.157500000000001</v>
      </c>
      <c r="K39" s="115"/>
      <c r="L39" s="392"/>
      <c r="M39" s="115"/>
      <c r="N39" s="115"/>
      <c r="O39" s="115"/>
    </row>
    <row r="40" spans="1:15">
      <c r="A40" s="115"/>
      <c r="B40" s="115"/>
      <c r="C40" s="115"/>
      <c r="D40" s="115"/>
      <c r="E40" s="115"/>
      <c r="F40" s="115"/>
      <c r="G40" s="115"/>
      <c r="H40" s="115"/>
      <c r="I40" s="115"/>
      <c r="J40" s="115"/>
      <c r="K40" s="115"/>
      <c r="L40" s="392"/>
      <c r="M40" s="115"/>
      <c r="N40" s="115"/>
      <c r="O40" s="115"/>
    </row>
    <row r="41" spans="1:15">
      <c r="A41" s="115"/>
      <c r="B41" s="115"/>
      <c r="C41" s="115"/>
      <c r="D41" s="115"/>
      <c r="E41" s="115"/>
      <c r="F41" s="115"/>
      <c r="G41" s="115"/>
      <c r="H41" s="115"/>
      <c r="I41" s="115"/>
      <c r="J41" s="115"/>
      <c r="K41" s="115"/>
      <c r="L41" s="392"/>
      <c r="M41" s="115"/>
      <c r="N41" s="115"/>
      <c r="O41" s="115"/>
    </row>
    <row r="42" spans="1:15" ht="13">
      <c r="A42" s="407"/>
      <c r="B42" s="407"/>
      <c r="C42" s="407"/>
      <c r="D42" s="407"/>
      <c r="E42" s="96" t="s">
        <v>480</v>
      </c>
      <c r="F42" s="97">
        <f>TGDL</f>
        <v>2019</v>
      </c>
      <c r="G42" s="187" t="s">
        <v>206</v>
      </c>
      <c r="H42" s="407"/>
      <c r="I42" s="407"/>
      <c r="J42" s="407"/>
      <c r="K42" s="407"/>
      <c r="L42" s="407"/>
      <c r="M42" s="408"/>
      <c r="N42" s="115"/>
      <c r="O42" s="115"/>
    </row>
    <row r="43" spans="1:15">
      <c r="A43" s="167" t="s">
        <v>481</v>
      </c>
      <c r="B43" s="115"/>
      <c r="C43" s="115"/>
      <c r="D43" s="115"/>
      <c r="E43" s="115"/>
      <c r="F43" s="115"/>
      <c r="G43" s="115"/>
      <c r="H43" s="115"/>
      <c r="I43" s="115"/>
      <c r="J43" s="115"/>
      <c r="K43" s="115"/>
      <c r="L43" s="115"/>
      <c r="M43" s="409"/>
      <c r="N43" s="115"/>
      <c r="O43" s="115"/>
    </row>
    <row r="44" spans="1:15">
      <c r="A44" s="167"/>
      <c r="B44" s="115"/>
      <c r="C44" s="115"/>
      <c r="D44" s="115"/>
      <c r="E44" s="115"/>
      <c r="F44" s="115"/>
      <c r="G44" s="115"/>
      <c r="H44" s="115"/>
      <c r="I44" s="115"/>
      <c r="J44" s="115"/>
      <c r="K44" s="115"/>
      <c r="L44" s="115"/>
      <c r="M44" s="409"/>
      <c r="N44" s="115"/>
      <c r="O44" s="115"/>
    </row>
    <row r="45" spans="1:15" ht="13">
      <c r="A45" s="82" t="s">
        <v>482</v>
      </c>
      <c r="B45" s="115"/>
      <c r="C45" s="115"/>
      <c r="D45" s="115"/>
      <c r="E45" s="115"/>
      <c r="F45" s="115"/>
      <c r="G45" s="115"/>
      <c r="H45" s="115"/>
      <c r="I45" s="115"/>
      <c r="J45" s="115"/>
      <c r="K45" s="115"/>
      <c r="L45" s="115"/>
      <c r="M45" s="409"/>
      <c r="N45" s="115"/>
      <c r="O45" s="115"/>
    </row>
    <row r="46" spans="1:15">
      <c r="A46" s="167" t="s">
        <v>483</v>
      </c>
      <c r="B46" s="115"/>
      <c r="C46" s="115"/>
      <c r="D46" s="115"/>
      <c r="E46" s="115"/>
      <c r="F46" s="115"/>
      <c r="G46" s="115"/>
      <c r="H46" s="115"/>
      <c r="I46" s="115"/>
      <c r="J46" s="115"/>
      <c r="K46" s="115"/>
      <c r="L46" s="115"/>
      <c r="M46" s="409"/>
      <c r="N46" s="115"/>
      <c r="O46" s="115"/>
    </row>
    <row r="47" spans="1:15">
      <c r="A47" s="167"/>
      <c r="B47" s="115"/>
      <c r="C47" s="115"/>
      <c r="D47" s="115"/>
      <c r="E47" s="115"/>
      <c r="F47" s="115" t="s">
        <v>484</v>
      </c>
      <c r="G47" s="115" t="s">
        <v>255</v>
      </c>
      <c r="H47" s="115" t="s">
        <v>485</v>
      </c>
      <c r="I47" s="115"/>
      <c r="J47" s="115"/>
      <c r="K47" s="115"/>
      <c r="L47" s="115"/>
      <c r="M47" s="409"/>
      <c r="N47" s="115"/>
      <c r="O47" s="115"/>
    </row>
    <row r="48" spans="1:15">
      <c r="A48" s="167" t="s">
        <v>486</v>
      </c>
      <c r="B48" s="115" t="s">
        <v>487</v>
      </c>
      <c r="C48" s="115"/>
      <c r="D48" s="115"/>
      <c r="E48" s="115" t="s">
        <v>305</v>
      </c>
      <c r="F48" s="115" t="s">
        <v>488</v>
      </c>
      <c r="G48" s="115" t="s">
        <v>489</v>
      </c>
      <c r="H48" s="115" t="s">
        <v>440</v>
      </c>
      <c r="I48" s="115"/>
      <c r="J48" s="115"/>
      <c r="K48" s="115"/>
      <c r="L48" s="115"/>
      <c r="M48" s="409"/>
      <c r="N48" s="115"/>
      <c r="O48" s="115"/>
    </row>
    <row r="49" spans="1:15" ht="14.5">
      <c r="A49" s="167"/>
      <c r="B49" s="115"/>
      <c r="C49" s="115"/>
      <c r="D49" s="115"/>
      <c r="E49" s="115"/>
      <c r="F49" s="115" t="s">
        <v>444</v>
      </c>
      <c r="G49" s="115" t="s">
        <v>490</v>
      </c>
      <c r="H49" s="115" t="s">
        <v>444</v>
      </c>
      <c r="I49" s="115"/>
      <c r="J49" s="115"/>
      <c r="K49" s="115"/>
      <c r="L49" s="115"/>
      <c r="M49" s="409"/>
      <c r="N49" s="115"/>
      <c r="O49" s="115"/>
    </row>
    <row r="50" spans="1:15">
      <c r="A50" s="167" t="s">
        <v>478</v>
      </c>
      <c r="B50" s="115" t="s">
        <v>250</v>
      </c>
      <c r="C50" s="115"/>
      <c r="D50" s="115"/>
      <c r="E50" s="115">
        <v>0</v>
      </c>
      <c r="F50" s="115"/>
      <c r="G50" s="115"/>
      <c r="H50" s="115"/>
      <c r="I50" s="115"/>
      <c r="J50" s="115"/>
      <c r="K50" s="115"/>
      <c r="L50" s="115"/>
      <c r="M50" s="409"/>
      <c r="N50" s="115"/>
      <c r="O50" s="115"/>
    </row>
    <row r="51" spans="1:15">
      <c r="A51" s="167"/>
      <c r="B51" s="115" t="s">
        <v>461</v>
      </c>
      <c r="C51" s="115"/>
      <c r="D51" s="115"/>
      <c r="E51" s="115">
        <v>1</v>
      </c>
      <c r="F51" s="410">
        <v>0.16</v>
      </c>
      <c r="G51" s="115">
        <f>SUMIF($M$15:$M$19,E51,$D$15:$D$19)</f>
        <v>63</v>
      </c>
      <c r="H51" s="411">
        <f>IF(G51=0,"-",SUMIF($M$15:$M$19,E51,$F$15:$F$19)/G51)</f>
        <v>0.11</v>
      </c>
      <c r="I51" s="412" t="str">
        <f>IF(H51="-","-",IF(H51&lt;=F51,"Complies","Does not comply"))</f>
        <v>Complies</v>
      </c>
      <c r="J51" s="115"/>
      <c r="K51" s="115"/>
      <c r="L51" s="115"/>
      <c r="M51" s="409"/>
      <c r="N51" s="115"/>
      <c r="O51" s="115"/>
    </row>
    <row r="52" spans="1:15">
      <c r="A52" s="167"/>
      <c r="B52" s="115" t="s">
        <v>491</v>
      </c>
      <c r="C52" s="115"/>
      <c r="D52" s="115"/>
      <c r="E52" s="115">
        <v>2</v>
      </c>
      <c r="F52" s="410">
        <v>0.16</v>
      </c>
      <c r="G52" s="115">
        <f>SUMIF($M$15:$M$19,E52,$D$15:$D$19)</f>
        <v>0</v>
      </c>
      <c r="H52" s="411" t="str">
        <f>IF(G52=0,"-",SUMIF($M$15:$M$19,E52,$F$15:$F$19)/G52)</f>
        <v>-</v>
      </c>
      <c r="I52" s="412" t="str">
        <f t="shared" ref="I52:I58" si="1">IF(H52="-","-",IF(H52&lt;=F52,"Complies","Does not comply"))</f>
        <v>-</v>
      </c>
      <c r="J52" s="115"/>
      <c r="K52" s="115"/>
      <c r="L52" s="115"/>
      <c r="M52" s="409"/>
      <c r="N52" s="115"/>
      <c r="O52" s="115"/>
    </row>
    <row r="53" spans="1:15">
      <c r="A53" s="167"/>
      <c r="B53" s="115" t="s">
        <v>492</v>
      </c>
      <c r="C53" s="115"/>
      <c r="D53" s="115"/>
      <c r="E53" s="115">
        <v>3</v>
      </c>
      <c r="F53" s="410">
        <v>0.2</v>
      </c>
      <c r="G53" s="115">
        <f>SUMIF($M$15:$M$19,E53,$D$15:$D$19)</f>
        <v>0</v>
      </c>
      <c r="H53" s="411" t="str">
        <f>IF(G53=0,"-",SUMIF($M$15:$M$19,E53,$F$15:$F$19)/G53)</f>
        <v>-</v>
      </c>
      <c r="I53" s="412" t="str">
        <f t="shared" si="1"/>
        <v>-</v>
      </c>
      <c r="J53" s="115"/>
      <c r="K53" s="115"/>
      <c r="L53" s="115"/>
      <c r="M53" s="409"/>
      <c r="N53" s="115"/>
      <c r="O53" s="115"/>
    </row>
    <row r="54" spans="1:15">
      <c r="A54" s="167" t="s">
        <v>454</v>
      </c>
      <c r="B54" s="115"/>
      <c r="C54" s="115"/>
      <c r="D54" s="115"/>
      <c r="E54" s="115"/>
      <c r="F54" s="349"/>
      <c r="G54" s="115"/>
      <c r="H54" s="411"/>
      <c r="I54" s="115"/>
      <c r="J54" s="115"/>
      <c r="K54" s="115"/>
      <c r="L54" s="115"/>
      <c r="M54" s="409"/>
      <c r="N54" s="115"/>
      <c r="O54" s="115"/>
    </row>
    <row r="55" spans="1:15">
      <c r="A55" s="167"/>
      <c r="B55" s="115" t="s">
        <v>454</v>
      </c>
      <c r="C55" s="115"/>
      <c r="D55" s="115"/>
      <c r="E55" s="115"/>
      <c r="F55" s="410">
        <f>IF(TGDL&lt;&gt;2011,0.18,0.21)</f>
        <v>0.18</v>
      </c>
      <c r="G55" s="115">
        <f>SUM(B96:B100)</f>
        <v>85.7</v>
      </c>
      <c r="H55" s="411">
        <f>IF(G55=0,"-",SUM(D96:D100)/G55)</f>
        <v>0.13</v>
      </c>
      <c r="I55" s="412" t="str">
        <f t="shared" si="1"/>
        <v>Complies</v>
      </c>
      <c r="J55" s="115"/>
      <c r="K55" s="115"/>
      <c r="L55" s="115"/>
      <c r="M55" s="409"/>
      <c r="N55" s="115"/>
      <c r="O55" s="115"/>
    </row>
    <row r="56" spans="1:15">
      <c r="A56" s="167" t="s">
        <v>477</v>
      </c>
      <c r="B56" s="115" t="s">
        <v>250</v>
      </c>
      <c r="C56" s="115"/>
      <c r="D56" s="115"/>
      <c r="E56" s="115">
        <v>0</v>
      </c>
      <c r="F56" s="349"/>
      <c r="G56" s="115"/>
      <c r="H56" s="411"/>
      <c r="I56" s="115"/>
      <c r="J56" s="115"/>
      <c r="K56" s="115"/>
      <c r="L56" s="115"/>
      <c r="M56" s="409"/>
      <c r="N56" s="115"/>
      <c r="O56" s="115"/>
    </row>
    <row r="57" spans="1:15">
      <c r="A57" s="167"/>
      <c r="B57" s="115" t="s">
        <v>451</v>
      </c>
      <c r="C57" s="115"/>
      <c r="D57" s="115"/>
      <c r="E57" s="115">
        <v>1</v>
      </c>
      <c r="F57" s="410">
        <f>IF(TGDL&lt;&gt;2011,0.18,0.21)</f>
        <v>0.18</v>
      </c>
      <c r="G57" s="115">
        <f>SUMIF($M$7:$M$9,E57,$D$7:$D$9)</f>
        <v>63</v>
      </c>
      <c r="H57" s="411">
        <f>IF(G57=0,"-",SUMIF($M$7:$M$9,E57,$F$7:$F$9)/G57)</f>
        <v>0.14000000000000001</v>
      </c>
      <c r="I57" s="412" t="str">
        <f t="shared" si="1"/>
        <v>Complies</v>
      </c>
      <c r="J57" s="115"/>
      <c r="K57" s="115"/>
      <c r="L57" s="115"/>
      <c r="M57" s="409"/>
      <c r="N57" s="115"/>
      <c r="O57" s="115"/>
    </row>
    <row r="58" spans="1:15">
      <c r="A58" s="167"/>
      <c r="B58" s="115" t="s">
        <v>493</v>
      </c>
      <c r="C58" s="115"/>
      <c r="D58" s="115"/>
      <c r="E58" s="115">
        <v>2</v>
      </c>
      <c r="F58" s="410">
        <v>0.15</v>
      </c>
      <c r="G58" s="115">
        <f>SUMIF($M$7:$M$9,E58,$D$7:$D$9)</f>
        <v>0</v>
      </c>
      <c r="H58" s="411" t="str">
        <f>IF(G58=0,"-",SUMIF($M$7:$M$9,E58,$F$7:$F$9)/G58)</f>
        <v>-</v>
      </c>
      <c r="I58" s="412" t="str">
        <f t="shared" si="1"/>
        <v>-</v>
      </c>
      <c r="J58" s="115"/>
      <c r="K58" s="115"/>
      <c r="L58" s="115"/>
      <c r="M58" s="409"/>
      <c r="N58" s="115"/>
      <c r="O58" s="115"/>
    </row>
    <row r="59" spans="1:15">
      <c r="A59" s="167"/>
      <c r="B59" s="115"/>
      <c r="C59" s="115"/>
      <c r="D59" s="115"/>
      <c r="E59" s="115"/>
      <c r="F59" s="115"/>
      <c r="G59" s="115"/>
      <c r="H59" s="115"/>
      <c r="I59" s="115"/>
      <c r="J59" s="115"/>
      <c r="K59" s="115"/>
      <c r="L59" s="115"/>
      <c r="M59" s="409"/>
      <c r="N59" s="115"/>
      <c r="O59" s="115"/>
    </row>
    <row r="60" spans="1:15">
      <c r="A60" s="167" t="s">
        <v>271</v>
      </c>
      <c r="B60" s="115"/>
      <c r="C60" s="115"/>
      <c r="D60" s="115"/>
      <c r="E60" s="115"/>
      <c r="F60" s="115"/>
      <c r="G60" s="115"/>
      <c r="H60" s="115"/>
      <c r="I60" s="115"/>
      <c r="J60" s="115"/>
      <c r="K60" s="115"/>
      <c r="L60" s="115"/>
      <c r="M60" s="409"/>
      <c r="N60" s="115"/>
      <c r="O60" s="115"/>
    </row>
    <row r="61" spans="1:15">
      <c r="A61" s="167" t="s">
        <v>494</v>
      </c>
      <c r="B61" s="115"/>
      <c r="C61" s="115"/>
      <c r="D61" s="115"/>
      <c r="E61" s="115"/>
      <c r="F61" s="115"/>
      <c r="G61" s="115"/>
      <c r="H61" s="413">
        <f>IF(tfa=0,0,SUM(D5:D6)/tfa)</f>
        <v>0.2496031746031746</v>
      </c>
      <c r="I61" s="115"/>
      <c r="J61" s="115"/>
      <c r="K61" s="115"/>
      <c r="L61" s="115"/>
      <c r="M61" s="409"/>
      <c r="N61" s="115"/>
      <c r="O61" s="115"/>
    </row>
    <row r="62" spans="1:15" ht="14.5">
      <c r="A62" s="167" t="s">
        <v>495</v>
      </c>
      <c r="B62" s="115"/>
      <c r="C62" s="115"/>
      <c r="D62" s="115"/>
      <c r="E62" s="115"/>
      <c r="F62" s="115"/>
      <c r="G62" s="115"/>
      <c r="H62" s="389">
        <f>IF(SUM(D5:D6)=0,0,(SUM(F5:F6)+(Win!N17-Win!N19))/SUM(D5:D6))</f>
        <v>0.93529411764705872</v>
      </c>
      <c r="I62" s="115"/>
      <c r="J62" s="115"/>
      <c r="K62" s="115"/>
      <c r="L62" s="115"/>
      <c r="M62" s="409"/>
      <c r="N62" s="115"/>
      <c r="O62" s="115"/>
    </row>
    <row r="63" spans="1:15">
      <c r="A63" s="167"/>
      <c r="B63" s="115"/>
      <c r="C63" s="115"/>
      <c r="D63" s="115"/>
      <c r="E63" s="115"/>
      <c r="F63" s="115"/>
      <c r="G63" s="115"/>
      <c r="H63" s="412" t="str">
        <f>IF(TGDL="N/A","N/A",IF(TGDL=2011,B90,B89))</f>
        <v>Complies</v>
      </c>
      <c r="I63" s="115"/>
      <c r="J63" s="115"/>
      <c r="K63" s="115"/>
      <c r="L63" s="115"/>
      <c r="M63" s="409"/>
      <c r="N63" s="115"/>
      <c r="O63" s="115"/>
    </row>
    <row r="64" spans="1:15">
      <c r="A64" s="167"/>
      <c r="B64" s="115"/>
      <c r="C64" s="115"/>
      <c r="D64" s="115"/>
      <c r="E64" s="115"/>
      <c r="F64" s="115"/>
      <c r="G64" s="115"/>
      <c r="H64" s="115"/>
      <c r="I64" s="115"/>
      <c r="J64" s="115"/>
      <c r="K64" s="115"/>
      <c r="L64" s="115"/>
      <c r="M64" s="409"/>
      <c r="N64" s="115"/>
      <c r="O64" s="115"/>
    </row>
    <row r="65" spans="1:15" ht="13">
      <c r="A65" s="82" t="s">
        <v>496</v>
      </c>
      <c r="B65" s="115"/>
      <c r="C65" s="115"/>
      <c r="D65" s="115"/>
      <c r="E65" s="115"/>
      <c r="F65" s="115"/>
      <c r="G65" s="115"/>
      <c r="H65" s="115"/>
      <c r="I65" s="115"/>
      <c r="J65" s="115"/>
      <c r="K65" s="115"/>
      <c r="L65" s="115"/>
      <c r="M65" s="409"/>
      <c r="N65" s="115"/>
      <c r="O65" s="115"/>
    </row>
    <row r="66" spans="1:15" ht="14.5">
      <c r="A66" s="167" t="s">
        <v>444</v>
      </c>
      <c r="B66" s="115"/>
      <c r="C66" s="115"/>
      <c r="D66" s="115"/>
      <c r="E66" s="115" t="s">
        <v>484</v>
      </c>
      <c r="F66" s="115" t="s">
        <v>497</v>
      </c>
      <c r="G66" s="115"/>
      <c r="H66" s="115"/>
      <c r="I66" s="115"/>
      <c r="J66" s="115"/>
      <c r="K66" s="115"/>
      <c r="L66" s="115"/>
      <c r="M66" s="409"/>
      <c r="N66" s="115"/>
      <c r="O66" s="115"/>
    </row>
    <row r="67" spans="1:15">
      <c r="A67" s="167"/>
      <c r="B67" s="115"/>
      <c r="C67" s="115"/>
      <c r="D67" s="115"/>
      <c r="E67" s="115" t="s">
        <v>488</v>
      </c>
      <c r="F67" s="115" t="s">
        <v>498</v>
      </c>
      <c r="G67" s="115"/>
      <c r="H67" s="115"/>
      <c r="I67" s="115"/>
      <c r="J67" s="115"/>
      <c r="K67" s="115"/>
      <c r="L67" s="115"/>
      <c r="M67" s="409"/>
      <c r="N67" s="115"/>
      <c r="O67" s="115"/>
    </row>
    <row r="68" spans="1:15">
      <c r="A68" s="167" t="s">
        <v>478</v>
      </c>
      <c r="B68" s="115"/>
      <c r="C68" s="115"/>
      <c r="D68" s="115"/>
      <c r="E68" s="414">
        <v>0.3</v>
      </c>
      <c r="F68" s="115">
        <f>MAX(E15:E19)</f>
        <v>0.11</v>
      </c>
      <c r="G68" s="412" t="str">
        <f>IF(F68&lt;=E68,"Complies","Does not comply")</f>
        <v>Complies</v>
      </c>
      <c r="H68" s="115"/>
      <c r="I68" s="115"/>
      <c r="J68" s="115"/>
      <c r="K68" s="115"/>
      <c r="L68" s="115"/>
      <c r="M68" s="409"/>
      <c r="N68" s="115"/>
      <c r="O68" s="115"/>
    </row>
    <row r="69" spans="1:15">
      <c r="A69" s="167" t="s">
        <v>454</v>
      </c>
      <c r="B69" s="115"/>
      <c r="C69" s="115"/>
      <c r="D69" s="115"/>
      <c r="E69" s="414">
        <v>0.6</v>
      </c>
      <c r="F69" s="115">
        <f>MAX(C96:C100)</f>
        <v>0.13</v>
      </c>
      <c r="G69" s="412" t="str">
        <f>IF(F69&lt;=E69,"Complies","Does not comply")</f>
        <v>Complies</v>
      </c>
      <c r="H69" s="115"/>
      <c r="I69" s="115"/>
      <c r="J69" s="115"/>
      <c r="K69" s="115"/>
      <c r="L69" s="115"/>
      <c r="M69" s="409"/>
      <c r="N69" s="115"/>
      <c r="O69" s="115"/>
    </row>
    <row r="70" spans="1:15">
      <c r="A70" s="167" t="s">
        <v>477</v>
      </c>
      <c r="B70" s="115"/>
      <c r="C70" s="115"/>
      <c r="D70" s="115"/>
      <c r="E70" s="414">
        <v>0.6</v>
      </c>
      <c r="F70" s="115">
        <f>MAX(E7:E9)</f>
        <v>0.14000000000000001</v>
      </c>
      <c r="G70" s="412" t="str">
        <f>IF(F70&lt;=E70,"Complies","Does not comply")</f>
        <v>Complies</v>
      </c>
      <c r="H70" s="115"/>
      <c r="I70" s="115"/>
      <c r="J70" s="115"/>
      <c r="K70" s="115"/>
      <c r="L70" s="115"/>
      <c r="M70" s="409"/>
      <c r="N70" s="115"/>
      <c r="O70" s="115"/>
    </row>
    <row r="71" spans="1:15">
      <c r="A71" s="167" t="s">
        <v>499</v>
      </c>
      <c r="B71" s="115"/>
      <c r="C71" s="115"/>
      <c r="D71" s="115"/>
      <c r="E71" s="414">
        <v>3</v>
      </c>
      <c r="F71" s="115">
        <f>MAX(E6,Win!E9:M9)</f>
        <v>1.5</v>
      </c>
      <c r="G71" s="412" t="str">
        <f>IF(F71&lt;=E71,"Complies","Does not comply")</f>
        <v>Complies</v>
      </c>
      <c r="H71" s="115"/>
      <c r="I71" s="115"/>
      <c r="J71" s="115"/>
      <c r="K71" s="115"/>
      <c r="L71" s="115"/>
      <c r="M71" s="409"/>
      <c r="N71" s="115"/>
      <c r="O71" s="115"/>
    </row>
    <row r="72" spans="1:15">
      <c r="A72" s="415"/>
      <c r="B72" s="416"/>
      <c r="C72" s="416"/>
      <c r="D72" s="416"/>
      <c r="E72" s="416"/>
      <c r="F72" s="416"/>
      <c r="G72" s="416"/>
      <c r="H72" s="416"/>
      <c r="I72" s="416"/>
      <c r="J72" s="416"/>
      <c r="K72" s="416"/>
      <c r="L72" s="416"/>
      <c r="M72" s="417"/>
      <c r="N72" s="115"/>
      <c r="O72" s="115"/>
    </row>
    <row r="73" spans="1:15">
      <c r="A73" s="167" t="s">
        <v>500</v>
      </c>
      <c r="B73" s="115"/>
      <c r="C73" s="115"/>
      <c r="D73" s="115"/>
      <c r="E73" s="115"/>
      <c r="F73" s="115"/>
      <c r="G73" s="115"/>
      <c r="H73" s="115"/>
      <c r="I73" s="115"/>
      <c r="J73" s="115"/>
      <c r="K73" s="115"/>
      <c r="L73" s="115"/>
      <c r="M73" s="115"/>
      <c r="N73" s="115"/>
      <c r="O73" s="115"/>
    </row>
    <row r="74" spans="1:15" ht="13">
      <c r="A74" s="18" t="s">
        <v>501</v>
      </c>
      <c r="B74" s="407"/>
      <c r="C74" s="407"/>
      <c r="D74" s="407"/>
      <c r="E74" s="408"/>
      <c r="F74" s="115"/>
      <c r="G74" s="115"/>
      <c r="H74" s="115"/>
      <c r="I74" s="115"/>
      <c r="J74" s="115"/>
      <c r="K74" s="115"/>
      <c r="L74" s="115"/>
      <c r="M74" s="115"/>
      <c r="N74" s="115"/>
      <c r="O74" s="115"/>
    </row>
    <row r="75" spans="1:15">
      <c r="A75" s="167" t="s">
        <v>502</v>
      </c>
      <c r="B75" s="115"/>
      <c r="C75" s="115"/>
      <c r="D75" s="115"/>
      <c r="E75" s="418">
        <f>SUM(D10:D14)+D6+SUM(Win!C33:C37)-Win!C39</f>
        <v>117.14999999999999</v>
      </c>
      <c r="F75" s="115"/>
      <c r="G75" s="115"/>
      <c r="H75" s="115"/>
      <c r="I75" s="115"/>
      <c r="J75" s="115"/>
      <c r="K75" s="115"/>
      <c r="L75" s="115"/>
      <c r="M75" s="115"/>
      <c r="N75" s="115"/>
      <c r="O75" s="115"/>
    </row>
    <row r="76" spans="1:15">
      <c r="A76" s="167" t="s">
        <v>503</v>
      </c>
      <c r="B76" s="115"/>
      <c r="C76" s="115"/>
      <c r="D76" s="115"/>
      <c r="E76" s="418">
        <f>SUM(D15:D19)+Win!C38+Win!C39</f>
        <v>63</v>
      </c>
      <c r="F76" s="115"/>
      <c r="G76" s="115"/>
      <c r="H76" s="115"/>
      <c r="I76" s="115"/>
      <c r="J76" s="115"/>
      <c r="K76" s="115"/>
      <c r="L76" s="115"/>
      <c r="M76" s="115"/>
      <c r="N76" s="115"/>
      <c r="O76" s="115"/>
    </row>
    <row r="77" spans="1:15">
      <c r="A77" s="167" t="s">
        <v>504</v>
      </c>
      <c r="B77" s="115"/>
      <c r="C77" s="115"/>
      <c r="D77" s="115"/>
      <c r="E77" s="418">
        <f>SUM(D7:D9)</f>
        <v>63</v>
      </c>
      <c r="F77" s="115"/>
      <c r="G77" s="115"/>
      <c r="H77" s="115"/>
      <c r="I77" s="115"/>
      <c r="J77" s="115"/>
      <c r="K77" s="115"/>
      <c r="L77" s="115"/>
      <c r="M77" s="115"/>
      <c r="N77" s="115"/>
      <c r="O77" s="115"/>
    </row>
    <row r="78" spans="1:15">
      <c r="A78" s="415"/>
      <c r="B78" s="416"/>
      <c r="C78" s="416"/>
      <c r="D78" s="416" t="s">
        <v>505</v>
      </c>
      <c r="E78" s="419">
        <f>SUM(E75:E77)</f>
        <v>243.14999999999998</v>
      </c>
      <c r="F78" s="115"/>
      <c r="G78" s="115"/>
      <c r="H78" s="115"/>
      <c r="I78" s="115"/>
      <c r="J78" s="115"/>
      <c r="K78" s="115"/>
      <c r="L78" s="115"/>
      <c r="M78" s="115"/>
      <c r="N78" s="115"/>
      <c r="O78" s="115"/>
    </row>
    <row r="80" spans="1:15" ht="13">
      <c r="A80" s="8" t="s">
        <v>506</v>
      </c>
      <c r="B80" s="115"/>
      <c r="C80" s="115"/>
      <c r="D80" s="115"/>
      <c r="E80" s="115"/>
      <c r="F80" s="115"/>
      <c r="G80" s="115"/>
      <c r="H80" s="115"/>
      <c r="I80" s="115"/>
      <c r="J80" s="115"/>
      <c r="K80" s="115"/>
      <c r="L80" s="115"/>
      <c r="M80" s="115"/>
      <c r="N80" s="115"/>
      <c r="O80" s="115"/>
    </row>
    <row r="81" spans="1:7">
      <c r="A81" s="115" t="s">
        <v>507</v>
      </c>
      <c r="B81" s="115"/>
      <c r="C81" s="115"/>
      <c r="D81" s="115"/>
      <c r="E81" s="115"/>
      <c r="F81" s="115"/>
      <c r="G81" s="349">
        <f>E75+E76</f>
        <v>180.14999999999998</v>
      </c>
    </row>
    <row r="82" spans="1:7">
      <c r="A82" s="115" t="s">
        <v>508</v>
      </c>
      <c r="B82" s="115"/>
      <c r="C82" s="115"/>
      <c r="D82" s="115"/>
      <c r="E82" s="115"/>
      <c r="F82" s="115"/>
      <c r="G82" s="349">
        <f>MAX(SUM(P5:P6)-E75,0)</f>
        <v>0</v>
      </c>
    </row>
    <row r="84" spans="1:7" ht="13">
      <c r="A84" s="8" t="s">
        <v>509</v>
      </c>
      <c r="B84" s="115"/>
      <c r="C84" s="115"/>
      <c r="D84" s="115"/>
      <c r="E84" s="115"/>
      <c r="F84" s="115"/>
      <c r="G84" s="115"/>
    </row>
    <row r="85" spans="1:7" ht="75">
      <c r="A85" s="207" t="s">
        <v>510</v>
      </c>
      <c r="B85" s="115">
        <v>0</v>
      </c>
      <c r="C85" s="115"/>
      <c r="D85" s="115"/>
      <c r="E85" s="115"/>
      <c r="F85" s="115"/>
      <c r="G85" s="115"/>
    </row>
    <row r="86" spans="1:7" ht="75">
      <c r="A86" s="207" t="s">
        <v>455</v>
      </c>
      <c r="B86" s="115">
        <v>1</v>
      </c>
      <c r="C86" s="115"/>
      <c r="D86" s="115"/>
      <c r="E86" s="115"/>
      <c r="F86" s="115"/>
      <c r="G86" s="115"/>
    </row>
    <row r="88" spans="1:7" ht="13">
      <c r="A88" s="8" t="s">
        <v>511</v>
      </c>
      <c r="B88" s="115"/>
      <c r="C88" s="115"/>
      <c r="D88" s="115"/>
      <c r="E88" s="115"/>
      <c r="F88" s="115"/>
      <c r="G88" s="115"/>
    </row>
    <row r="89" spans="1:7">
      <c r="A89" s="207">
        <v>2019</v>
      </c>
      <c r="B89" s="115" t="str">
        <f>IF(H62&lt;=1.4,"Complies","Does not comply")</f>
        <v>Complies</v>
      </c>
      <c r="C89" s="115"/>
      <c r="D89" s="115"/>
      <c r="E89" s="115"/>
      <c r="F89" s="115"/>
      <c r="G89" s="115"/>
    </row>
    <row r="90" spans="1:7">
      <c r="A90" s="115">
        <v>2011</v>
      </c>
      <c r="B90" s="115" t="str">
        <f>IF(H61&lt;=0.3475/(H62-0.21),"Complies","Does not comply")</f>
        <v>Complies</v>
      </c>
      <c r="C90" s="115"/>
      <c r="D90" s="115"/>
      <c r="E90" s="115"/>
      <c r="F90" s="115"/>
      <c r="G90" s="115"/>
    </row>
    <row r="93" spans="1:7" ht="13">
      <c r="A93" s="8" t="s">
        <v>512</v>
      </c>
      <c r="B93" s="115"/>
      <c r="C93" s="115"/>
      <c r="D93" s="115"/>
      <c r="E93" s="115"/>
      <c r="F93" s="115"/>
      <c r="G93" s="115"/>
    </row>
    <row r="94" spans="1:7" ht="21">
      <c r="A94" s="115"/>
      <c r="B94" s="95" t="s">
        <v>513</v>
      </c>
      <c r="C94" s="95" t="s">
        <v>514</v>
      </c>
      <c r="D94" s="95" t="s">
        <v>515</v>
      </c>
      <c r="E94" s="115"/>
      <c r="F94" s="115"/>
      <c r="G94" s="115"/>
    </row>
    <row r="95" spans="1:7">
      <c r="A95" s="115"/>
      <c r="B95" s="115"/>
      <c r="C95" s="115"/>
      <c r="D95" s="115"/>
      <c r="E95" s="115"/>
      <c r="F95" s="115"/>
      <c r="G95" s="115"/>
    </row>
    <row r="96" spans="1:7">
      <c r="A96" s="115" t="str">
        <f>A10</f>
        <v>Walls</v>
      </c>
      <c r="B96" s="115">
        <f t="shared" ref="B96:D100" si="2">$M10*D10</f>
        <v>85.7</v>
      </c>
      <c r="C96" s="115">
        <f t="shared" si="2"/>
        <v>0.13</v>
      </c>
      <c r="D96" s="115">
        <f t="shared" si="2"/>
        <v>11.141</v>
      </c>
      <c r="E96" s="115"/>
      <c r="F96" s="115"/>
      <c r="G96" s="115"/>
    </row>
    <row r="97" spans="1:4">
      <c r="A97" s="115" t="str">
        <f>A11</f>
        <v>Walls (type 2)</v>
      </c>
      <c r="B97" s="115">
        <f t="shared" si="2"/>
        <v>0</v>
      </c>
      <c r="C97" s="115">
        <f t="shared" si="2"/>
        <v>0</v>
      </c>
      <c r="D97" s="115">
        <f t="shared" si="2"/>
        <v>0</v>
      </c>
    </row>
    <row r="98" spans="1:4">
      <c r="A98" s="115" t="str">
        <f>A12</f>
        <v>Walls (type 3)</v>
      </c>
      <c r="B98" s="115">
        <f t="shared" si="2"/>
        <v>0</v>
      </c>
      <c r="C98" s="115">
        <f t="shared" si="2"/>
        <v>0</v>
      </c>
      <c r="D98" s="115">
        <f t="shared" si="2"/>
        <v>0</v>
      </c>
    </row>
    <row r="99" spans="1:4">
      <c r="A99" s="115" t="str">
        <f>A13</f>
        <v>Walls (type 4)</v>
      </c>
      <c r="B99" s="115">
        <f t="shared" si="2"/>
        <v>0</v>
      </c>
      <c r="C99" s="115">
        <f t="shared" si="2"/>
        <v>0</v>
      </c>
      <c r="D99" s="115">
        <f t="shared" si="2"/>
        <v>0</v>
      </c>
    </row>
    <row r="100" spans="1:4">
      <c r="A100" s="115" t="str">
        <f>A14</f>
        <v>Walls (type 5)</v>
      </c>
      <c r="B100" s="115">
        <f t="shared" si="2"/>
        <v>0</v>
      </c>
      <c r="C100" s="115">
        <f t="shared" si="2"/>
        <v>0</v>
      </c>
      <c r="D100" s="115">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70" zoomScale="110" zoomScaleNormal="110" workbookViewId="0">
      <selection activeCell="J83" sqref="J83"/>
    </sheetView>
  </sheetViews>
  <sheetFormatPr defaultColWidth="9.1796875" defaultRowHeight="12.5"/>
  <cols>
    <col min="3" max="11" width="16.54296875" customWidth="1"/>
    <col min="13" max="13" width="13.54296875" customWidth="1"/>
    <col min="16" max="16" width="12.81640625" customWidth="1"/>
    <col min="17" max="18" width="9.1796875" style="510" customWidth="1"/>
    <col min="22" max="22" width="12.81640625" customWidth="1"/>
    <col min="25" max="26" width="16.54296875" customWidth="1"/>
    <col min="29" max="29" width="37.81640625" customWidth="1"/>
    <col min="35" max="35" width="17" bestFit="1" customWidth="1"/>
  </cols>
  <sheetData>
    <row r="1" spans="1:18" s="1" customFormat="1" ht="18" customHeight="1">
      <c r="A1" s="12" t="s">
        <v>516</v>
      </c>
      <c r="B1" s="14"/>
      <c r="C1" s="381"/>
      <c r="D1" s="381"/>
      <c r="E1" s="381"/>
      <c r="F1" s="15"/>
      <c r="G1" s="15"/>
      <c r="H1" s="381"/>
      <c r="I1" s="381"/>
      <c r="J1" s="381"/>
      <c r="K1" s="381"/>
      <c r="L1" s="381"/>
      <c r="M1" s="381"/>
      <c r="N1" s="381"/>
      <c r="Q1" s="506" t="s">
        <v>270</v>
      </c>
      <c r="R1" s="516"/>
    </row>
    <row r="2" spans="1:18">
      <c r="A2" s="154" t="s">
        <v>517</v>
      </c>
      <c r="B2" s="154"/>
      <c r="C2" s="154"/>
      <c r="D2" s="154"/>
      <c r="E2" s="154"/>
      <c r="F2" s="401">
        <f>IF(tfa&lt;=13.9,1,1+1.76*(1-EXP(-0.000349*(tfa-13.9)^2))+0.0013*(tfa-13.9))</f>
        <v>2.8838101636113129</v>
      </c>
      <c r="G2" s="156"/>
      <c r="H2" s="154"/>
      <c r="I2" s="154"/>
      <c r="J2" s="154"/>
      <c r="K2" s="154"/>
      <c r="L2" s="154"/>
      <c r="M2" s="154"/>
      <c r="N2" s="154"/>
      <c r="O2" s="154"/>
      <c r="P2" s="154"/>
      <c r="Q2" s="503"/>
      <c r="R2" s="503"/>
    </row>
    <row r="3" spans="1:18">
      <c r="A3" s="154"/>
      <c r="B3" s="154"/>
      <c r="C3" s="154"/>
      <c r="D3" s="154"/>
      <c r="E3" s="154"/>
      <c r="F3" s="157"/>
      <c r="G3" s="158"/>
      <c r="H3" s="154"/>
      <c r="I3" s="154"/>
      <c r="J3" s="154"/>
      <c r="K3" s="154"/>
      <c r="L3" s="154"/>
      <c r="M3" s="154"/>
      <c r="N3" s="154"/>
      <c r="O3" s="154"/>
      <c r="P3" s="154"/>
      <c r="Q3" s="503"/>
      <c r="R3" s="503"/>
    </row>
    <row r="4" spans="1:18">
      <c r="A4" s="154"/>
      <c r="B4" s="154"/>
      <c r="C4" s="154"/>
      <c r="D4" s="154"/>
      <c r="E4" s="154"/>
      <c r="G4" s="158"/>
      <c r="H4" s="154"/>
      <c r="I4" s="154"/>
      <c r="J4" s="154"/>
      <c r="K4" s="154"/>
      <c r="L4" s="154"/>
      <c r="M4" s="154"/>
      <c r="N4" s="154"/>
      <c r="O4" s="154"/>
      <c r="P4" s="154"/>
      <c r="Q4" s="503"/>
      <c r="R4" s="503"/>
    </row>
    <row r="5" spans="1:18" ht="14.5">
      <c r="A5" s="115" t="s">
        <v>518</v>
      </c>
      <c r="B5" s="154"/>
      <c r="C5" s="154"/>
      <c r="D5" s="154"/>
      <c r="E5" s="154"/>
      <c r="F5" s="200">
        <v>2</v>
      </c>
      <c r="G5" s="155" t="s">
        <v>206</v>
      </c>
      <c r="H5" s="154"/>
      <c r="I5" s="154"/>
      <c r="J5" s="154"/>
      <c r="K5" s="154"/>
      <c r="L5" s="154"/>
      <c r="M5" s="154"/>
      <c r="N5" s="154"/>
      <c r="O5" s="154"/>
      <c r="P5" s="154"/>
      <c r="Q5" s="503"/>
      <c r="R5" s="503"/>
    </row>
    <row r="6" spans="1:18">
      <c r="A6" s="115"/>
      <c r="B6" s="154"/>
      <c r="C6" s="154"/>
      <c r="D6" s="154"/>
      <c r="E6" s="154"/>
      <c r="F6" s="154"/>
      <c r="G6" s="158"/>
      <c r="M6" s="154"/>
      <c r="N6" s="154"/>
      <c r="O6" s="154"/>
      <c r="P6" s="154"/>
      <c r="Q6" s="503"/>
      <c r="R6" s="503"/>
    </row>
    <row r="7" spans="1:18" ht="14.5">
      <c r="A7" s="115" t="s">
        <v>519</v>
      </c>
      <c r="B7" s="154"/>
      <c r="C7" s="154"/>
      <c r="D7" s="154"/>
      <c r="E7" s="154"/>
      <c r="F7" s="200" t="s">
        <v>245</v>
      </c>
      <c r="G7" s="158"/>
      <c r="H7" s="154"/>
      <c r="I7" s="154"/>
      <c r="J7" s="154"/>
      <c r="K7" s="154"/>
      <c r="L7" s="154"/>
      <c r="M7" s="154"/>
      <c r="N7" s="154"/>
      <c r="O7" s="154"/>
      <c r="P7" s="154"/>
      <c r="Q7" s="503"/>
      <c r="R7" s="503"/>
    </row>
    <row r="8" spans="1:18">
      <c r="G8" s="158"/>
      <c r="H8" s="154"/>
      <c r="I8" s="154"/>
      <c r="J8" s="154"/>
      <c r="K8" s="154"/>
      <c r="L8" s="154"/>
      <c r="M8" s="154"/>
      <c r="N8" s="154"/>
      <c r="O8" s="154"/>
      <c r="P8" s="154"/>
      <c r="Q8" s="503"/>
      <c r="R8" s="503"/>
    </row>
    <row r="9" spans="1:18">
      <c r="G9" s="158"/>
      <c r="H9" s="154"/>
      <c r="I9" s="154"/>
      <c r="J9" s="154"/>
      <c r="K9" s="154"/>
      <c r="L9" s="154"/>
      <c r="M9" s="154"/>
      <c r="N9" s="154"/>
      <c r="O9" s="154"/>
      <c r="P9" s="154"/>
      <c r="Q9" s="503"/>
      <c r="R9" s="503"/>
    </row>
    <row r="10" spans="1:18" ht="13">
      <c r="A10" s="9" t="s">
        <v>520</v>
      </c>
      <c r="G10" s="158"/>
      <c r="H10" s="154"/>
      <c r="I10" s="154"/>
      <c r="J10" s="154"/>
      <c r="K10" s="154"/>
      <c r="L10" s="154"/>
      <c r="M10" s="154"/>
      <c r="N10" s="154"/>
      <c r="O10" s="154"/>
      <c r="P10" s="154"/>
      <c r="Q10" s="503"/>
      <c r="R10" s="503"/>
    </row>
    <row r="11" spans="1:18">
      <c r="A11" s="154"/>
      <c r="B11" s="115" t="s">
        <v>521</v>
      </c>
      <c r="F11" s="5">
        <f>IF(F5=0,0,IF(F7="Yes",0.45*N+0.65,0.58*N+0.83))</f>
        <v>1.9477145736250909</v>
      </c>
      <c r="G11" s="158"/>
      <c r="H11" s="154"/>
      <c r="I11" s="154"/>
      <c r="J11" s="154"/>
      <c r="K11" s="154"/>
      <c r="L11" s="154"/>
      <c r="M11" s="154"/>
      <c r="N11" s="154"/>
      <c r="O11" s="154"/>
      <c r="P11" s="154"/>
      <c r="Q11" s="503"/>
      <c r="R11" s="503"/>
    </row>
    <row r="12" spans="1:18">
      <c r="A12" s="154"/>
      <c r="B12" s="115"/>
      <c r="F12" s="5"/>
      <c r="G12" s="158"/>
      <c r="H12" s="154"/>
      <c r="I12" s="154"/>
      <c r="J12" s="154"/>
      <c r="K12" s="154"/>
      <c r="L12" s="154"/>
      <c r="M12" s="154"/>
      <c r="N12" s="154"/>
      <c r="O12" s="154"/>
      <c r="P12" s="154"/>
      <c r="Q12" s="503"/>
      <c r="R12" s="503"/>
    </row>
    <row r="13" spans="1:18" ht="37.5">
      <c r="A13" s="154"/>
      <c r="C13" s="189" t="s">
        <v>522</v>
      </c>
      <c r="D13" s="190" t="s">
        <v>523</v>
      </c>
      <c r="E13" s="190"/>
      <c r="F13" s="189" t="s">
        <v>524</v>
      </c>
      <c r="G13" s="189" t="s">
        <v>525</v>
      </c>
      <c r="H13" s="189" t="s">
        <v>526</v>
      </c>
      <c r="I13" s="189" t="s">
        <v>527</v>
      </c>
      <c r="J13" s="189" t="s">
        <v>528</v>
      </c>
      <c r="K13" s="189" t="s">
        <v>529</v>
      </c>
      <c r="L13" s="191" t="s">
        <v>530</v>
      </c>
      <c r="M13" s="189" t="s">
        <v>531</v>
      </c>
      <c r="Q13" s="503"/>
      <c r="R13" s="503"/>
    </row>
    <row r="14" spans="1:18" ht="14.5">
      <c r="A14" s="154"/>
      <c r="B14" s="115" t="s">
        <v>532</v>
      </c>
      <c r="C14" s="200" t="s">
        <v>246</v>
      </c>
      <c r="D14" s="698" t="s">
        <v>533</v>
      </c>
      <c r="E14" s="698"/>
      <c r="F14" s="200" t="s">
        <v>245</v>
      </c>
      <c r="G14" s="201">
        <v>7</v>
      </c>
      <c r="H14">
        <f>IF(C14="Yes",IF(D14="Instantaneous electric shower (vented or unvented)",0,MAX(G14,6)),IF(D14="Instantaneous electric shower (vented or unvented)",0,IF(F14="Yes",6,VLOOKUP(D14,$A$126:$C$131,2,FALSE))))</f>
        <v>6</v>
      </c>
      <c r="I14">
        <f>H14*6</f>
        <v>36</v>
      </c>
      <c r="J14" s="5">
        <f>IF($F$5=0,0,I14*$F$11/$F$5)</f>
        <v>35.058862325251638</v>
      </c>
      <c r="K14" s="85">
        <f>(41-M141)/(52-M141)</f>
        <v>0.71948186238891065</v>
      </c>
      <c r="L14" s="5">
        <f>J14*$K$14</f>
        <v>25.224215559008464</v>
      </c>
      <c r="M14">
        <f>IF(D14=$A$131,1,0)</f>
        <v>0</v>
      </c>
      <c r="P14" t="s">
        <v>534</v>
      </c>
      <c r="Q14" s="510">
        <v>12</v>
      </c>
      <c r="R14" s="506" t="s">
        <v>535</v>
      </c>
    </row>
    <row r="15" spans="1:18" ht="14.5">
      <c r="A15" s="154"/>
      <c r="B15" s="115" t="s">
        <v>536</v>
      </c>
      <c r="C15" s="200" t="s">
        <v>246</v>
      </c>
      <c r="D15" s="698" t="s">
        <v>537</v>
      </c>
      <c r="E15" s="698"/>
      <c r="F15" s="200" t="s">
        <v>245</v>
      </c>
      <c r="G15" s="201">
        <v>7</v>
      </c>
      <c r="H15">
        <f>IF(C15="Yes",IF(D15="Instantaneous electric shower (vented or unvented)",0,MAX(G15,6)),IF(D15="Instantaneous electric shower (vented or unvented)",0,IF(F15="Yes",6,VLOOKUP(D15,$A$126:$C$131,2,FALSE))))</f>
        <v>6</v>
      </c>
      <c r="I15">
        <f t="shared" ref="I15:I18" si="0">H15*6</f>
        <v>36</v>
      </c>
      <c r="J15">
        <f>IF($F$5&gt;1,I15*$F$11/$F$5,0)</f>
        <v>35.058862325251638</v>
      </c>
      <c r="L15" s="5">
        <f t="shared" ref="L15:L18" si="1">J15*$K$14</f>
        <v>25.224215559008464</v>
      </c>
      <c r="M15">
        <f>IF($F$5&gt;1,IF(D15=$A$131,1,0),0)</f>
        <v>0</v>
      </c>
      <c r="P15" t="s">
        <v>538</v>
      </c>
      <c r="Q15" s="504">
        <f>Q14*F11*6</f>
        <v>140.23544930100655</v>
      </c>
      <c r="R15" s="503"/>
    </row>
    <row r="16" spans="1:18" ht="14.5">
      <c r="A16" s="154"/>
      <c r="B16" s="115" t="s">
        <v>539</v>
      </c>
      <c r="C16" s="200" t="s">
        <v>245</v>
      </c>
      <c r="D16" s="698" t="s">
        <v>537</v>
      </c>
      <c r="E16" s="698"/>
      <c r="F16" s="200" t="s">
        <v>246</v>
      </c>
      <c r="G16" s="201">
        <v>7</v>
      </c>
      <c r="H16">
        <f>IF(C16="Yes",IF(D16="Instantaneous electric shower (vented or unvented)",0,MAX(G16,6)),IF(D16="Instantaneous electric shower (vented or unvented)",0,IF(F16="Yes",6,VLOOKUP(D16,$A$126:$C$131,2,FALSE))))</f>
        <v>7</v>
      </c>
      <c r="I16">
        <f t="shared" si="0"/>
        <v>42</v>
      </c>
      <c r="J16">
        <f>IF($F$5&gt;2,I16*$F$11/$F$5,0)</f>
        <v>0</v>
      </c>
      <c r="L16" s="5">
        <f t="shared" si="1"/>
        <v>0</v>
      </c>
      <c r="M16">
        <f>IF($F$5&gt;2,IF(D16=$A$131,1,0),0)</f>
        <v>0</v>
      </c>
      <c r="P16" t="s">
        <v>540</v>
      </c>
      <c r="Q16" s="504">
        <f>K14*Q15</f>
        <v>100.89686223603385</v>
      </c>
      <c r="R16" s="503" t="s">
        <v>541</v>
      </c>
    </row>
    <row r="17" spans="1:18" ht="14.5">
      <c r="B17" s="115" t="s">
        <v>542</v>
      </c>
      <c r="C17" s="200" t="s">
        <v>245</v>
      </c>
      <c r="D17" s="698" t="s">
        <v>537</v>
      </c>
      <c r="E17" s="698"/>
      <c r="F17" s="200" t="s">
        <v>246</v>
      </c>
      <c r="G17" s="201">
        <v>7</v>
      </c>
      <c r="H17">
        <f>IF(C17="Yes",IF(D17="Instantaneous electric shower (vented or unvented)",0,MAX(G17,6)),IF(D17="Instantaneous electric shower (vented or unvented)",0,IF(F17="Yes",6,VLOOKUP(D17,$A$126:$C$131,2,FALSE))))</f>
        <v>7</v>
      </c>
      <c r="I17">
        <f t="shared" si="0"/>
        <v>42</v>
      </c>
      <c r="J17">
        <f>IF($F$5&gt;3,I17*$F$11/$F$5,0)</f>
        <v>0</v>
      </c>
      <c r="L17" s="5">
        <f t="shared" si="1"/>
        <v>0</v>
      </c>
      <c r="M17">
        <f>IF($F$5&gt;3,IF(D17=$A$131,1,0),0)</f>
        <v>0</v>
      </c>
      <c r="Q17" s="503"/>
      <c r="R17" s="503"/>
    </row>
    <row r="18" spans="1:18" ht="14.5">
      <c r="B18" s="115" t="s">
        <v>543</v>
      </c>
      <c r="C18" s="200" t="s">
        <v>245</v>
      </c>
      <c r="D18" s="698" t="s">
        <v>537</v>
      </c>
      <c r="E18" s="698"/>
      <c r="F18" s="200" t="s">
        <v>246</v>
      </c>
      <c r="G18" s="201">
        <v>7</v>
      </c>
      <c r="H18">
        <f>IF(C18="Yes",IF(D18="Instantaneous electric shower (vented or unvented)",0,MAX(G18,6)),IF(D18="Instantaneous electric shower (vented or unvented)",0,IF(F18="Yes",6,VLOOKUP(D18,$A$126:$C$131,2,FALSE))))</f>
        <v>7</v>
      </c>
      <c r="I18">
        <f t="shared" si="0"/>
        <v>42</v>
      </c>
      <c r="J18">
        <f>IF($F$5&gt;4,I18*$F$11/$F$5,0)</f>
        <v>0</v>
      </c>
      <c r="L18" s="5">
        <f t="shared" si="1"/>
        <v>0</v>
      </c>
      <c r="M18">
        <f>IF($F$5&gt;4,IF(D18=$A$131,1,0),0)</f>
        <v>0</v>
      </c>
      <c r="Q18" s="503"/>
      <c r="R18" s="503"/>
    </row>
    <row r="19" spans="1:18">
      <c r="A19" s="154"/>
      <c r="B19" s="154"/>
      <c r="C19" s="154"/>
      <c r="D19" s="154"/>
      <c r="E19" s="154"/>
      <c r="F19" s="157"/>
      <c r="G19" s="158"/>
      <c r="H19" s="154"/>
      <c r="I19" s="154"/>
      <c r="J19" s="154"/>
      <c r="K19" s="154"/>
      <c r="L19" s="154"/>
      <c r="M19" s="154">
        <f>SUM(M14:M18)</f>
        <v>0</v>
      </c>
      <c r="N19" s="154"/>
      <c r="O19" s="154"/>
      <c r="P19" s="154"/>
      <c r="Q19" s="503"/>
      <c r="R19" s="503"/>
    </row>
    <row r="20" spans="1:18">
      <c r="A20" s="154"/>
      <c r="B20" s="154"/>
      <c r="C20" s="154"/>
      <c r="D20" s="154"/>
      <c r="E20" s="154"/>
      <c r="F20" s="157"/>
      <c r="G20" s="158"/>
      <c r="H20" s="154"/>
      <c r="I20" s="154"/>
      <c r="J20" s="154"/>
      <c r="K20" s="162" t="s">
        <v>544</v>
      </c>
      <c r="L20" s="420">
        <f>SUM(L14:L18)</f>
        <v>50.448431118016927</v>
      </c>
      <c r="M20" s="154" t="s">
        <v>541</v>
      </c>
      <c r="N20" s="154"/>
      <c r="O20" s="154"/>
      <c r="P20" s="154"/>
      <c r="Q20" s="503"/>
      <c r="R20" s="503"/>
    </row>
    <row r="21" spans="1:18">
      <c r="A21" s="154"/>
      <c r="B21" s="154"/>
      <c r="C21" s="154"/>
      <c r="E21" s="700" t="s">
        <v>545</v>
      </c>
      <c r="F21" s="700"/>
      <c r="G21" s="157"/>
      <c r="H21" s="158"/>
      <c r="I21" s="154"/>
      <c r="J21" s="154"/>
      <c r="K21" s="154"/>
      <c r="L21" s="154"/>
      <c r="M21" s="154"/>
      <c r="N21" s="154"/>
      <c r="O21" s="154"/>
      <c r="P21" s="154"/>
      <c r="Q21" s="503"/>
      <c r="R21" s="503"/>
    </row>
    <row r="22" spans="1:18" ht="37.5">
      <c r="A22" s="154"/>
      <c r="B22" s="154"/>
      <c r="C22" s="154" t="s">
        <v>546</v>
      </c>
      <c r="D22" s="193" t="s">
        <v>547</v>
      </c>
      <c r="E22" s="154" t="s">
        <v>548</v>
      </c>
      <c r="F22" s="215" t="s">
        <v>549</v>
      </c>
      <c r="G22" s="189" t="s">
        <v>528</v>
      </c>
      <c r="H22" s="214" t="s">
        <v>550</v>
      </c>
      <c r="I22" s="215" t="s">
        <v>551</v>
      </c>
      <c r="J22" s="154"/>
      <c r="K22" s="154"/>
      <c r="L22" s="154"/>
      <c r="M22" s="154"/>
      <c r="N22" s="154"/>
      <c r="O22" s="154"/>
      <c r="P22" s="154"/>
      <c r="Q22" s="503"/>
      <c r="R22" s="503"/>
    </row>
    <row r="23" spans="1:18" ht="14.5">
      <c r="A23" s="154"/>
      <c r="B23" s="154" t="s">
        <v>552</v>
      </c>
      <c r="C23" s="154" t="s">
        <v>532</v>
      </c>
      <c r="D23" s="200" t="s">
        <v>246</v>
      </c>
      <c r="E23" s="216">
        <v>0</v>
      </c>
      <c r="F23" s="216">
        <v>0</v>
      </c>
      <c r="G23" s="157">
        <f>J14</f>
        <v>35.058862325251638</v>
      </c>
      <c r="H23" s="421">
        <f>(G23*365*(35-$M$141)*4.18)/3600</f>
        <v>330.04611659878401</v>
      </c>
      <c r="I23" s="403">
        <f>IF(D14="Instantaneous electric shower (vented or unvented)",0,IF(D23="Yes",H23*E23*F23,0))</f>
        <v>0</v>
      </c>
      <c r="J23" s="154"/>
      <c r="K23" s="154"/>
      <c r="L23" s="154"/>
      <c r="M23" s="154"/>
      <c r="N23" s="154"/>
      <c r="O23" s="154"/>
      <c r="P23" s="154"/>
      <c r="Q23" s="503"/>
      <c r="R23" s="503"/>
    </row>
    <row r="24" spans="1:18" ht="14.5">
      <c r="A24" s="154"/>
      <c r="B24" s="154" t="s">
        <v>553</v>
      </c>
      <c r="C24" s="154" t="s">
        <v>536</v>
      </c>
      <c r="D24" s="200" t="s">
        <v>246</v>
      </c>
      <c r="E24" s="216">
        <v>0</v>
      </c>
      <c r="F24" s="216">
        <v>0</v>
      </c>
      <c r="G24" s="157">
        <f>J15</f>
        <v>35.058862325251638</v>
      </c>
      <c r="H24" s="421">
        <f t="shared" ref="H24:H27" si="2">(G24*365*(35-$M$141)*4.18)/3600</f>
        <v>330.04611659878401</v>
      </c>
      <c r="I24" s="403">
        <f>IF(D15="Instantaneous electric shower (vented or unvented)",0,IF(D24="Yes",H24*E24*F24,0))</f>
        <v>0</v>
      </c>
      <c r="J24" s="154"/>
      <c r="K24" s="154"/>
      <c r="L24" s="154"/>
      <c r="M24" s="154"/>
      <c r="N24" s="154"/>
      <c r="O24" s="154"/>
      <c r="P24" s="154"/>
      <c r="Q24" s="503"/>
      <c r="R24" s="503"/>
    </row>
    <row r="25" spans="1:18" ht="14.5">
      <c r="A25" s="154"/>
      <c r="B25" s="154" t="s">
        <v>554</v>
      </c>
      <c r="C25" s="154" t="s">
        <v>539</v>
      </c>
      <c r="D25" s="200" t="s">
        <v>246</v>
      </c>
      <c r="E25" s="216" t="s">
        <v>206</v>
      </c>
      <c r="F25" s="216"/>
      <c r="G25" s="157">
        <f>J16</f>
        <v>0</v>
      </c>
      <c r="H25" s="421">
        <f t="shared" si="2"/>
        <v>0</v>
      </c>
      <c r="I25" s="403">
        <f>IF(D16="Instantaneous electric shower (vented or unvented)",0,IF(D25="Yes",H25*E25*F25,0))</f>
        <v>0</v>
      </c>
      <c r="J25" s="154"/>
      <c r="K25" s="154"/>
      <c r="L25" s="154"/>
      <c r="M25" s="154"/>
      <c r="N25" s="154"/>
      <c r="O25" s="154"/>
      <c r="P25" s="154"/>
      <c r="Q25" s="503"/>
      <c r="R25" s="503"/>
    </row>
    <row r="26" spans="1:18" ht="14.5">
      <c r="A26" s="154"/>
      <c r="B26" s="154" t="s">
        <v>555</v>
      </c>
      <c r="C26" s="154" t="s">
        <v>542</v>
      </c>
      <c r="D26" s="200" t="s">
        <v>246</v>
      </c>
      <c r="E26" s="216"/>
      <c r="F26" s="216"/>
      <c r="G26" s="157">
        <f>J17</f>
        <v>0</v>
      </c>
      <c r="H26" s="421">
        <f t="shared" si="2"/>
        <v>0</v>
      </c>
      <c r="I26" s="403">
        <f>IF(D17="Instantaneous electric shower (vented or unvented)",0,IF(D26="Yes",H26*E26*F26,0))</f>
        <v>0</v>
      </c>
      <c r="J26" s="154"/>
      <c r="K26" s="154"/>
      <c r="L26" s="154"/>
      <c r="M26" s="154"/>
      <c r="N26" s="154"/>
      <c r="O26" s="154"/>
      <c r="P26" s="154"/>
      <c r="Q26" s="503"/>
      <c r="R26" s="503"/>
    </row>
    <row r="27" spans="1:18" ht="14.5">
      <c r="A27" s="154"/>
      <c r="B27" s="154" t="s">
        <v>556</v>
      </c>
      <c r="C27" s="154" t="s">
        <v>543</v>
      </c>
      <c r="D27" s="200" t="s">
        <v>246</v>
      </c>
      <c r="E27" s="216"/>
      <c r="F27" s="216"/>
      <c r="G27" s="157">
        <f>J18</f>
        <v>0</v>
      </c>
      <c r="H27" s="421">
        <f t="shared" si="2"/>
        <v>0</v>
      </c>
      <c r="I27" s="403">
        <f>IF(D18="Instantaneous electric shower (vented or unvented)",0,IF(D27="Yes",H27*E27*F27,0))</f>
        <v>0</v>
      </c>
      <c r="J27" s="154"/>
      <c r="K27" s="154"/>
      <c r="L27" s="154"/>
      <c r="M27" s="154"/>
      <c r="N27" s="154"/>
      <c r="O27" s="154"/>
      <c r="P27" s="154"/>
      <c r="Q27" s="503"/>
      <c r="R27" s="503"/>
    </row>
    <row r="28" spans="1:18">
      <c r="A28" s="154"/>
      <c r="B28" s="154"/>
      <c r="C28" s="154"/>
      <c r="E28" s="154"/>
      <c r="F28" s="154"/>
      <c r="G28" s="157"/>
      <c r="H28" s="158"/>
      <c r="I28" s="403"/>
      <c r="J28" s="154"/>
      <c r="K28" s="154"/>
      <c r="L28" s="154"/>
      <c r="M28" s="154"/>
      <c r="N28" s="154"/>
      <c r="O28" s="154"/>
      <c r="P28" s="154"/>
      <c r="Q28" s="503"/>
      <c r="R28" s="503"/>
    </row>
    <row r="29" spans="1:18">
      <c r="A29" s="154"/>
      <c r="B29" s="154"/>
      <c r="C29" s="154"/>
      <c r="D29" s="154"/>
      <c r="E29" s="154"/>
      <c r="F29" s="157"/>
      <c r="G29" s="158"/>
      <c r="H29" s="156" t="s">
        <v>557</v>
      </c>
      <c r="I29" s="422">
        <f>SUM(I23:I27)</f>
        <v>0</v>
      </c>
      <c r="J29" s="154" t="s">
        <v>558</v>
      </c>
      <c r="K29" s="154"/>
      <c r="L29" s="154"/>
      <c r="M29" s="154"/>
      <c r="N29" s="154"/>
      <c r="O29" s="154"/>
      <c r="P29" s="154"/>
      <c r="Q29" s="503"/>
      <c r="R29" s="503"/>
    </row>
    <row r="30" spans="1:18">
      <c r="A30" s="154"/>
      <c r="B30" s="154"/>
      <c r="C30" s="154"/>
      <c r="D30" s="154"/>
      <c r="E30" s="154"/>
      <c r="F30" s="157"/>
      <c r="G30" s="158"/>
      <c r="H30" s="154"/>
      <c r="I30" s="154"/>
      <c r="J30" s="154"/>
      <c r="K30" s="154"/>
      <c r="L30" s="154"/>
      <c r="M30" s="154"/>
      <c r="N30" s="154"/>
      <c r="O30" s="154"/>
      <c r="P30" s="154"/>
      <c r="Q30" s="503"/>
      <c r="R30" s="503"/>
    </row>
    <row r="31" spans="1:18" ht="13">
      <c r="A31" s="9" t="s">
        <v>559</v>
      </c>
      <c r="B31" s="154"/>
      <c r="C31" s="154"/>
      <c r="D31" s="154"/>
      <c r="E31" s="154"/>
      <c r="F31" s="157"/>
      <c r="G31" s="158"/>
      <c r="H31" s="154"/>
      <c r="I31" s="154"/>
      <c r="J31" s="154"/>
      <c r="K31" s="154"/>
      <c r="L31" s="154"/>
      <c r="M31" s="154"/>
      <c r="N31" s="154"/>
      <c r="O31" s="154"/>
      <c r="P31" s="154"/>
      <c r="Q31" s="503"/>
      <c r="R31" s="503"/>
    </row>
    <row r="32" spans="1:18">
      <c r="A32" s="154"/>
      <c r="B32" s="154"/>
      <c r="C32" s="154"/>
      <c r="D32" s="154"/>
      <c r="E32" s="154"/>
      <c r="F32" s="157"/>
      <c r="G32" s="158"/>
      <c r="H32" s="154"/>
      <c r="I32" s="154"/>
      <c r="J32" s="154"/>
      <c r="K32" s="154"/>
      <c r="L32" s="154"/>
      <c r="M32" s="154"/>
      <c r="N32" s="154"/>
      <c r="O32" s="154"/>
      <c r="P32" s="154"/>
      <c r="Q32" s="503"/>
      <c r="R32" s="503"/>
    </row>
    <row r="33" spans="1:18">
      <c r="A33" s="154"/>
      <c r="B33" s="154" t="s">
        <v>560</v>
      </c>
      <c r="D33" s="154"/>
      <c r="E33" s="154"/>
      <c r="F33" s="388">
        <f>IFERROR((F11/F5)*M19,0)</f>
        <v>0</v>
      </c>
      <c r="G33" s="158"/>
      <c r="H33" s="154"/>
      <c r="I33" s="154"/>
      <c r="J33" s="154"/>
      <c r="K33" s="154"/>
      <c r="L33" s="154"/>
      <c r="M33" s="154"/>
      <c r="N33" s="154"/>
      <c r="O33" s="154"/>
      <c r="P33" s="154"/>
      <c r="Q33" s="503"/>
      <c r="R33" s="503"/>
    </row>
    <row r="34" spans="1:18">
      <c r="A34" s="154"/>
      <c r="B34" s="154" t="s">
        <v>561</v>
      </c>
      <c r="C34" s="154"/>
      <c r="D34" s="154"/>
      <c r="E34" s="154"/>
      <c r="F34" s="423">
        <f>F33*1*9.3*0.1*365</f>
        <v>0</v>
      </c>
      <c r="G34" s="158" t="s">
        <v>562</v>
      </c>
      <c r="H34" s="154"/>
      <c r="I34" s="154"/>
      <c r="J34" s="154"/>
      <c r="K34" s="154"/>
      <c r="L34" s="154"/>
      <c r="M34" s="154"/>
      <c r="N34" s="154"/>
      <c r="O34" s="154"/>
      <c r="P34" s="154"/>
      <c r="Q34" s="503"/>
      <c r="R34" s="503"/>
    </row>
    <row r="35" spans="1:18">
      <c r="A35" s="154"/>
      <c r="B35" s="154"/>
      <c r="C35" s="154"/>
      <c r="D35" s="154"/>
      <c r="E35" s="154"/>
      <c r="F35" s="157"/>
      <c r="G35" s="158"/>
      <c r="H35" s="154"/>
      <c r="I35" s="154"/>
      <c r="J35" s="154"/>
      <c r="K35" s="154"/>
      <c r="L35" s="154"/>
      <c r="M35" s="154"/>
      <c r="N35" s="154"/>
      <c r="O35" s="154"/>
      <c r="P35" s="154"/>
      <c r="Q35" s="503"/>
      <c r="R35" s="503"/>
    </row>
    <row r="36" spans="1:18" ht="14.5">
      <c r="A36" s="115" t="s">
        <v>563</v>
      </c>
      <c r="B36" s="154"/>
      <c r="C36" s="154"/>
      <c r="D36" s="154"/>
      <c r="E36" s="154"/>
      <c r="F36" s="200" t="s">
        <v>246</v>
      </c>
      <c r="G36" s="158"/>
      <c r="H36" s="154"/>
      <c r="I36" s="154"/>
      <c r="J36" s="154"/>
      <c r="K36" s="154"/>
      <c r="L36" s="154"/>
      <c r="M36" s="154"/>
      <c r="N36" s="154"/>
      <c r="O36" s="154"/>
      <c r="P36" s="154"/>
      <c r="Q36" s="503"/>
      <c r="R36" s="503"/>
    </row>
    <row r="37" spans="1:18" ht="13">
      <c r="A37" s="154"/>
      <c r="B37" s="9"/>
      <c r="C37" s="154"/>
      <c r="D37" s="156"/>
      <c r="E37" s="424"/>
      <c r="F37" s="154"/>
      <c r="G37" s="156"/>
      <c r="H37" s="154"/>
      <c r="I37" s="154"/>
      <c r="J37" s="154"/>
      <c r="K37" s="154"/>
      <c r="L37" s="154"/>
      <c r="M37" s="154"/>
      <c r="N37" s="154"/>
      <c r="O37" s="154"/>
      <c r="P37" s="154"/>
      <c r="Q37" s="503"/>
      <c r="R37" s="503"/>
    </row>
    <row r="38" spans="1:18" ht="13">
      <c r="A38" s="9" t="s">
        <v>564</v>
      </c>
      <c r="B38" s="9"/>
      <c r="C38" s="154"/>
      <c r="D38" s="156"/>
      <c r="E38" s="424"/>
      <c r="F38" s="154"/>
      <c r="G38" s="156"/>
      <c r="H38" s="154"/>
      <c r="I38" s="154"/>
      <c r="J38" s="154"/>
      <c r="K38" s="154"/>
      <c r="L38" s="154"/>
      <c r="M38" s="154"/>
      <c r="N38" s="154"/>
      <c r="O38" s="154"/>
      <c r="P38" s="154"/>
      <c r="Q38" s="503"/>
      <c r="R38" s="503"/>
    </row>
    <row r="39" spans="1:18">
      <c r="A39" s="154"/>
      <c r="B39" s="115" t="s">
        <v>565</v>
      </c>
      <c r="F39" s="5">
        <f>IF(F5=0,0.35*N+0.5,IF(F7="No",0,0.13*N+0.19))</f>
        <v>0.56489532126947073</v>
      </c>
      <c r="G39" s="156"/>
      <c r="H39" s="154"/>
      <c r="I39" s="154"/>
      <c r="J39" s="154"/>
      <c r="K39" s="154"/>
      <c r="L39" s="154"/>
      <c r="M39" s="154"/>
      <c r="N39" s="154"/>
      <c r="O39" s="154"/>
      <c r="P39" s="154"/>
      <c r="Q39" s="509">
        <f>F39</f>
        <v>0.56489532126947073</v>
      </c>
      <c r="R39" s="503"/>
    </row>
    <row r="40" spans="1:18">
      <c r="A40" s="154"/>
      <c r="B40" s="154" t="s">
        <v>566</v>
      </c>
      <c r="C40" s="154"/>
      <c r="D40" s="156"/>
      <c r="E40" s="424"/>
      <c r="F40" s="388">
        <f>F39*73</f>
        <v>41.237358452671366</v>
      </c>
      <c r="G40" s="156"/>
      <c r="H40" s="154"/>
      <c r="I40" s="154"/>
      <c r="J40" s="154"/>
      <c r="K40" s="154"/>
      <c r="L40" s="154"/>
      <c r="M40" s="154"/>
      <c r="N40" s="154"/>
      <c r="O40" s="154"/>
      <c r="P40" s="154"/>
      <c r="Q40" s="509">
        <f>Q39*73</f>
        <v>41.237358452671366</v>
      </c>
      <c r="R40" s="503"/>
    </row>
    <row r="41" spans="1:18" ht="15.75" customHeight="1">
      <c r="A41" s="154"/>
      <c r="B41" s="699" t="s">
        <v>567</v>
      </c>
      <c r="C41" s="699"/>
      <c r="D41" s="156" t="s">
        <v>206</v>
      </c>
      <c r="E41" s="424"/>
      <c r="F41" s="388">
        <f>(42-M141)/(52-M141)</f>
        <v>0.74498351126264606</v>
      </c>
      <c r="G41" s="156"/>
      <c r="H41" s="154"/>
      <c r="I41" s="154"/>
      <c r="J41" s="154" t="s">
        <v>206</v>
      </c>
      <c r="K41" s="154"/>
      <c r="L41" s="154"/>
      <c r="M41" s="154"/>
      <c r="N41" s="154"/>
      <c r="O41" s="154"/>
      <c r="P41" s="154"/>
      <c r="Q41" s="509"/>
      <c r="R41" s="503"/>
    </row>
    <row r="42" spans="1:18">
      <c r="A42" s="154"/>
      <c r="B42" s="115" t="s">
        <v>568</v>
      </c>
      <c r="C42" s="154"/>
      <c r="D42" s="156"/>
      <c r="E42" s="424"/>
      <c r="F42" s="420">
        <f>F40*F41</f>
        <v>30.72115209526747</v>
      </c>
      <c r="G42" s="154" t="s">
        <v>541</v>
      </c>
      <c r="H42" s="154"/>
      <c r="I42" s="154"/>
      <c r="J42" s="154"/>
      <c r="K42" s="154"/>
      <c r="L42" s="154"/>
      <c r="M42" s="154"/>
      <c r="N42" s="154"/>
      <c r="O42" s="154"/>
      <c r="P42" s="154"/>
      <c r="Q42" s="509">
        <f>Q40*F41</f>
        <v>30.72115209526747</v>
      </c>
      <c r="R42" s="503"/>
    </row>
    <row r="43" spans="1:18">
      <c r="A43" s="154"/>
      <c r="B43" s="115"/>
      <c r="C43" s="154"/>
      <c r="D43" s="156"/>
      <c r="E43" s="424"/>
      <c r="G43" s="154"/>
      <c r="H43" s="154"/>
      <c r="I43" s="154"/>
      <c r="J43" s="154"/>
      <c r="K43" s="154"/>
      <c r="L43" s="154"/>
      <c r="M43" s="154"/>
      <c r="N43" s="154"/>
      <c r="O43" s="154"/>
      <c r="P43" s="154"/>
      <c r="Q43" s="509"/>
      <c r="R43" s="503"/>
    </row>
    <row r="44" spans="1:18" ht="13">
      <c r="A44" s="154"/>
      <c r="B44" s="9"/>
      <c r="C44" s="154"/>
      <c r="D44" s="156"/>
      <c r="E44" s="424"/>
      <c r="F44" s="154"/>
      <c r="G44" s="156"/>
      <c r="H44" s="154"/>
      <c r="I44" s="154"/>
      <c r="J44" s="154"/>
      <c r="K44" s="154"/>
      <c r="L44" s="154"/>
      <c r="M44" s="154"/>
      <c r="N44" s="154"/>
      <c r="O44" s="154"/>
      <c r="P44" s="154"/>
      <c r="R44" s="503"/>
    </row>
    <row r="45" spans="1:18" ht="13">
      <c r="A45" s="3" t="s">
        <v>569</v>
      </c>
      <c r="B45" s="9"/>
      <c r="C45" s="154"/>
      <c r="D45" s="156"/>
      <c r="E45" s="424"/>
      <c r="F45" s="425">
        <f>((9.8*N)+14)</f>
        <v>42.261339603390866</v>
      </c>
      <c r="G45" s="154" t="s">
        <v>541</v>
      </c>
      <c r="H45" s="154"/>
      <c r="I45" s="154" t="s">
        <v>206</v>
      </c>
      <c r="J45" s="154"/>
      <c r="K45" s="154"/>
      <c r="L45" s="154"/>
      <c r="M45" s="154"/>
      <c r="N45" s="154"/>
      <c r="O45" s="154"/>
      <c r="P45" s="154"/>
      <c r="Q45" s="507">
        <f>((9.8*N)+14)</f>
        <v>42.261339603390866</v>
      </c>
      <c r="R45" s="503"/>
    </row>
    <row r="46" spans="1:18" ht="13">
      <c r="A46" s="154"/>
      <c r="B46" s="9"/>
      <c r="C46" s="154"/>
      <c r="D46" s="156"/>
      <c r="E46" s="424"/>
      <c r="F46" s="154"/>
      <c r="G46" s="156"/>
      <c r="H46" s="154"/>
      <c r="I46" s="154"/>
      <c r="J46" s="154"/>
      <c r="K46" s="154"/>
      <c r="L46" s="154"/>
      <c r="M46" s="154"/>
      <c r="N46" s="154"/>
      <c r="O46" s="154"/>
      <c r="P46" s="154"/>
      <c r="R46" s="503"/>
    </row>
    <row r="47" spans="1:18" ht="13">
      <c r="A47" s="3" t="s">
        <v>570</v>
      </c>
      <c r="B47" s="9"/>
      <c r="C47" s="154"/>
      <c r="D47" s="156"/>
      <c r="E47" s="424"/>
      <c r="F47" s="420">
        <f>IF($F$36="Yes",(L20+F42+F45)*0.95,(L20+F42+F45))</f>
        <v>123.43092281667526</v>
      </c>
      <c r="G47" s="154" t="s">
        <v>541</v>
      </c>
      <c r="H47" s="154"/>
      <c r="I47" s="154"/>
      <c r="J47" s="154"/>
      <c r="K47" s="154"/>
      <c r="L47" s="154"/>
      <c r="M47" s="154"/>
      <c r="N47" s="154"/>
      <c r="O47" s="154"/>
      <c r="P47" s="154"/>
      <c r="Q47" s="509">
        <f>Q16+Q42+Q45</f>
        <v>173.87935393469218</v>
      </c>
      <c r="R47" s="503"/>
    </row>
    <row r="48" spans="1:18" ht="13">
      <c r="A48" s="154" t="s">
        <v>206</v>
      </c>
      <c r="B48" s="9"/>
      <c r="C48" s="154"/>
      <c r="D48" s="156"/>
      <c r="E48" s="424"/>
      <c r="F48" s="9" t="s">
        <v>206</v>
      </c>
      <c r="G48" s="156"/>
      <c r="H48" s="154"/>
      <c r="I48" s="486"/>
      <c r="J48" s="154"/>
      <c r="K48" s="154"/>
      <c r="L48" s="154"/>
      <c r="M48" s="154"/>
      <c r="N48" s="154"/>
      <c r="O48" s="154"/>
      <c r="P48" s="154"/>
      <c r="Q48" s="503"/>
      <c r="R48" s="503"/>
    </row>
    <row r="49" spans="1:36" ht="13">
      <c r="A49" s="3" t="s">
        <v>571</v>
      </c>
      <c r="B49" s="9"/>
      <c r="C49" s="154"/>
      <c r="D49" s="156"/>
      <c r="E49" s="424"/>
      <c r="F49" s="420">
        <f>4.18*F47*365*M145/3600</f>
        <v>1935.4963002310701</v>
      </c>
      <c r="G49" s="158" t="s">
        <v>558</v>
      </c>
      <c r="H49" s="154"/>
      <c r="I49" s="487" t="s">
        <v>206</v>
      </c>
      <c r="J49" s="154"/>
      <c r="K49" s="154"/>
      <c r="L49" s="154"/>
      <c r="M49" s="154"/>
      <c r="N49" s="154"/>
      <c r="O49" s="154"/>
      <c r="P49" s="154"/>
      <c r="Q49" s="504">
        <f>4.18*Q47*365*M145/3600</f>
        <v>2726.568339175531</v>
      </c>
      <c r="R49" s="503"/>
    </row>
    <row r="50" spans="1:36" ht="13">
      <c r="A50" s="3" t="s">
        <v>572</v>
      </c>
      <c r="B50" s="9"/>
      <c r="C50" s="154"/>
      <c r="D50" s="156"/>
      <c r="E50" s="424"/>
      <c r="F50" s="420">
        <f>F49*0.85</f>
        <v>1645.1718551964095</v>
      </c>
      <c r="G50" s="158" t="s">
        <v>558</v>
      </c>
      <c r="H50" s="154"/>
      <c r="I50" s="487" t="s">
        <v>206</v>
      </c>
      <c r="J50" s="154"/>
      <c r="K50" s="154"/>
      <c r="L50" s="154"/>
      <c r="M50" s="154"/>
      <c r="N50" s="154"/>
      <c r="O50" s="154"/>
      <c r="P50" s="154"/>
      <c r="Q50" s="504">
        <f>Q49*0.85</f>
        <v>2317.5830882992013</v>
      </c>
      <c r="R50" s="503"/>
    </row>
    <row r="51" spans="1:36" ht="13">
      <c r="A51" s="154"/>
      <c r="B51" s="9"/>
      <c r="C51" s="154"/>
      <c r="D51" s="156"/>
      <c r="E51" s="424"/>
      <c r="F51" s="154"/>
      <c r="G51" s="156"/>
      <c r="H51" s="154"/>
      <c r="I51" s="154"/>
      <c r="J51" s="154"/>
      <c r="K51" s="154"/>
      <c r="L51" s="154"/>
      <c r="M51" s="154"/>
      <c r="N51" s="154"/>
      <c r="O51" s="154"/>
      <c r="P51" s="154"/>
      <c r="Q51" s="503"/>
      <c r="R51" s="503"/>
    </row>
    <row r="52" spans="1:36" ht="13">
      <c r="A52" s="9" t="s">
        <v>573</v>
      </c>
      <c r="B52" s="9"/>
      <c r="C52" s="154"/>
      <c r="D52" s="156"/>
      <c r="E52" s="424"/>
      <c r="F52" s="154"/>
      <c r="G52" s="156"/>
      <c r="H52" s="154"/>
      <c r="I52" s="154"/>
      <c r="J52" s="154"/>
      <c r="K52" s="154"/>
      <c r="L52" s="154"/>
      <c r="M52" s="154"/>
      <c r="N52" s="154"/>
      <c r="O52" s="154"/>
      <c r="P52" s="154"/>
      <c r="Q52" s="503"/>
      <c r="R52" s="503"/>
      <c r="AJ52" s="115"/>
    </row>
    <row r="53" spans="1:36" ht="13">
      <c r="A53" s="154" t="s">
        <v>574</v>
      </c>
      <c r="B53" s="154"/>
      <c r="C53" s="154"/>
      <c r="D53" s="154"/>
      <c r="E53" s="382" t="s">
        <v>245</v>
      </c>
      <c r="F53" s="155">
        <f>VLOOKUP(E53,$A$114:$B$116,2,FALSE)</f>
        <v>1</v>
      </c>
      <c r="G53" s="9" t="s">
        <v>206</v>
      </c>
      <c r="H53" s="154"/>
      <c r="I53" s="154" t="s">
        <v>575</v>
      </c>
      <c r="J53" s="154"/>
      <c r="K53" s="154"/>
      <c r="L53" s="154"/>
      <c r="M53" s="154"/>
      <c r="N53" s="154"/>
      <c r="O53" s="154"/>
      <c r="Q53" s="503"/>
      <c r="R53" s="503"/>
    </row>
    <row r="54" spans="1:36">
      <c r="A54" s="154" t="s">
        <v>576</v>
      </c>
      <c r="B54" s="154"/>
      <c r="C54" s="154"/>
      <c r="D54" s="154"/>
      <c r="E54" s="155"/>
      <c r="F54" s="44"/>
      <c r="G54" s="383">
        <f>IF(F53,F49*0.15,0)</f>
        <v>290.32444503466053</v>
      </c>
      <c r="H54" s="154"/>
      <c r="I54" s="154" t="s">
        <v>577</v>
      </c>
      <c r="J54" s="154"/>
      <c r="K54" s="154"/>
      <c r="L54" s="154"/>
      <c r="M54" s="154"/>
      <c r="N54" s="154"/>
      <c r="O54" s="154"/>
      <c r="P54" s="154"/>
      <c r="Q54" s="505">
        <f>Q49*0.15</f>
        <v>408.98525087632964</v>
      </c>
      <c r="R54" s="503"/>
    </row>
    <row r="55" spans="1:36">
      <c r="A55" s="154"/>
      <c r="B55" s="154"/>
      <c r="C55" s="154"/>
      <c r="D55" s="154"/>
      <c r="E55" s="155"/>
      <c r="F55" s="155"/>
      <c r="G55" s="154"/>
      <c r="H55" s="154"/>
      <c r="I55" s="154"/>
      <c r="J55" s="154"/>
      <c r="K55" s="154"/>
      <c r="L55" s="154"/>
      <c r="M55" s="154"/>
      <c r="N55" s="154"/>
      <c r="O55" s="154"/>
      <c r="P55" s="154"/>
      <c r="Q55" s="503"/>
      <c r="R55" s="503"/>
    </row>
    <row r="56" spans="1:36">
      <c r="A56" s="154" t="s">
        <v>578</v>
      </c>
      <c r="B56" s="154"/>
      <c r="C56" s="154"/>
      <c r="D56" s="154"/>
      <c r="E56" s="382" t="s">
        <v>245</v>
      </c>
      <c r="F56" s="155">
        <f>VLOOKUP(E56,$A$114:$B$116,2,FALSE)</f>
        <v>1</v>
      </c>
      <c r="G56" s="154"/>
      <c r="H56" s="154"/>
      <c r="I56" s="154"/>
      <c r="J56" s="154"/>
      <c r="K56" s="154"/>
      <c r="L56" s="154"/>
      <c r="M56" s="154"/>
      <c r="N56" s="154"/>
      <c r="O56" s="154"/>
      <c r="P56" s="154"/>
      <c r="Q56" s="503"/>
      <c r="R56" s="503"/>
    </row>
    <row r="57" spans="1:36" ht="13">
      <c r="A57" s="36" t="s">
        <v>369</v>
      </c>
      <c r="B57" s="154"/>
      <c r="C57" s="154"/>
      <c r="D57" s="154"/>
      <c r="E57" s="155"/>
      <c r="F57" s="155"/>
      <c r="G57" s="157"/>
      <c r="H57" s="154"/>
      <c r="I57" s="154"/>
      <c r="J57" s="154"/>
      <c r="K57" s="154"/>
      <c r="L57" s="154"/>
      <c r="M57" s="154"/>
      <c r="N57" s="154"/>
      <c r="O57" s="154"/>
      <c r="P57" s="154"/>
      <c r="Q57" s="503"/>
      <c r="R57" s="503"/>
    </row>
    <row r="58" spans="1:36">
      <c r="A58" s="154"/>
      <c r="B58" s="154" t="s">
        <v>579</v>
      </c>
      <c r="C58" s="154"/>
      <c r="D58" s="154"/>
      <c r="E58" s="155"/>
      <c r="F58" s="155"/>
      <c r="G58" s="382">
        <v>120</v>
      </c>
      <c r="H58" s="154"/>
      <c r="I58" s="154" t="s">
        <v>580</v>
      </c>
      <c r="J58" s="154"/>
      <c r="K58" s="154"/>
      <c r="L58" s="154"/>
      <c r="M58" s="154"/>
      <c r="N58" s="154"/>
      <c r="O58" s="154"/>
      <c r="P58" s="154"/>
      <c r="Q58" s="503">
        <v>120</v>
      </c>
      <c r="R58" s="503"/>
    </row>
    <row r="59" spans="1:36">
      <c r="A59" s="154"/>
      <c r="B59" s="154"/>
      <c r="E59" s="154" t="s">
        <v>581</v>
      </c>
      <c r="F59" s="154"/>
      <c r="G59" s="154"/>
      <c r="H59" s="154"/>
      <c r="J59" s="154"/>
      <c r="K59" s="154"/>
      <c r="L59" s="154"/>
      <c r="M59" s="154"/>
      <c r="N59" s="154"/>
      <c r="O59" s="154"/>
      <c r="P59" s="154"/>
      <c r="Q59" s="503"/>
      <c r="R59" s="503"/>
    </row>
    <row r="60" spans="1:36" ht="13">
      <c r="A60" s="154"/>
      <c r="B60" s="154" t="s">
        <v>582</v>
      </c>
      <c r="C60" s="154"/>
      <c r="D60" s="154"/>
      <c r="E60" s="154"/>
      <c r="F60" s="1"/>
      <c r="G60" s="382" t="s">
        <v>246</v>
      </c>
      <c r="H60" s="155">
        <f>VLOOKUP(G60,$A$114:$B$116,2,FALSE)</f>
        <v>0</v>
      </c>
      <c r="I60" s="154"/>
      <c r="J60" s="154"/>
      <c r="K60" s="154"/>
      <c r="L60" s="154"/>
      <c r="M60" s="154"/>
      <c r="N60" s="154"/>
      <c r="O60" s="154"/>
      <c r="P60" s="154"/>
      <c r="Q60" s="503"/>
      <c r="R60" s="503"/>
    </row>
    <row r="61" spans="1:36">
      <c r="A61" s="154"/>
      <c r="B61" s="154" t="s">
        <v>318</v>
      </c>
      <c r="C61" s="154"/>
      <c r="D61" s="154"/>
      <c r="E61" s="154"/>
      <c r="F61" s="154"/>
      <c r="G61" s="155"/>
      <c r="H61" s="155"/>
      <c r="I61" s="154"/>
      <c r="J61" s="154"/>
      <c r="K61" s="154"/>
      <c r="L61" s="154"/>
      <c r="M61" s="154"/>
      <c r="N61" s="154"/>
      <c r="O61" s="154"/>
      <c r="P61" s="154"/>
      <c r="Q61" s="503"/>
      <c r="R61" s="503"/>
    </row>
    <row r="62" spans="1:36">
      <c r="A62" s="154"/>
      <c r="B62" s="154"/>
      <c r="C62" s="154" t="s">
        <v>583</v>
      </c>
      <c r="D62" s="154"/>
      <c r="E62" s="154"/>
      <c r="F62" s="154"/>
      <c r="G62" s="155"/>
      <c r="H62" s="382"/>
      <c r="I62" s="154"/>
      <c r="J62" s="154"/>
      <c r="K62" s="154"/>
      <c r="L62" s="154"/>
      <c r="M62" s="154"/>
      <c r="N62" s="154"/>
      <c r="O62" s="154"/>
      <c r="P62" s="154"/>
      <c r="Q62" s="503"/>
      <c r="R62" s="503"/>
      <c r="T62" s="363" t="s">
        <v>206</v>
      </c>
    </row>
    <row r="63" spans="1:36">
      <c r="A63" s="154"/>
      <c r="B63" s="154"/>
      <c r="C63" s="154" t="s">
        <v>584</v>
      </c>
      <c r="D63" s="154"/>
      <c r="E63" s="154"/>
      <c r="F63" s="154"/>
      <c r="G63" s="155"/>
      <c r="H63" s="382">
        <v>1.2</v>
      </c>
      <c r="I63" s="154"/>
      <c r="J63" s="154"/>
      <c r="K63" s="154"/>
      <c r="L63" s="154"/>
      <c r="M63" s="154"/>
      <c r="N63" s="154"/>
      <c r="O63" s="154"/>
      <c r="P63" s="154"/>
      <c r="Q63" s="503"/>
      <c r="R63" s="503"/>
    </row>
    <row r="64" spans="1:36">
      <c r="A64" s="154"/>
      <c r="B64" s="154"/>
      <c r="C64" s="154" t="s">
        <v>585</v>
      </c>
      <c r="D64" s="154"/>
      <c r="E64" s="154"/>
      <c r="F64" s="154"/>
      <c r="G64" s="155"/>
      <c r="H64" s="157">
        <f>H63*365</f>
        <v>438</v>
      </c>
      <c r="I64" s="154"/>
      <c r="J64" s="154"/>
      <c r="K64" s="154"/>
      <c r="L64" s="154"/>
      <c r="M64" s="154"/>
      <c r="N64" s="154"/>
      <c r="O64" s="154"/>
      <c r="P64" s="154"/>
      <c r="Q64" s="503"/>
      <c r="R64" s="503"/>
    </row>
    <row r="65" spans="1:20">
      <c r="A65" s="154"/>
      <c r="B65" s="154" t="s">
        <v>586</v>
      </c>
      <c r="C65" s="154"/>
      <c r="D65" s="154"/>
      <c r="E65" s="154"/>
      <c r="F65" s="154"/>
      <c r="G65" s="154"/>
      <c r="H65" s="154"/>
      <c r="I65" s="154"/>
      <c r="J65" s="154"/>
      <c r="K65" s="154"/>
      <c r="L65" s="154"/>
      <c r="M65" s="154"/>
      <c r="N65" s="154"/>
      <c r="O65" s="154"/>
      <c r="P65" s="154"/>
      <c r="Q65" s="503"/>
      <c r="R65" s="503"/>
    </row>
    <row r="66" spans="1:20" ht="13">
      <c r="A66" s="154"/>
      <c r="B66" s="154"/>
      <c r="C66" s="154" t="s">
        <v>587</v>
      </c>
      <c r="D66" s="154"/>
      <c r="E66" s="154"/>
      <c r="F66" s="154"/>
      <c r="G66" s="685" t="s">
        <v>588</v>
      </c>
      <c r="H66" s="686"/>
      <c r="I66" s="42" t="s">
        <v>305</v>
      </c>
      <c r="J66" s="155">
        <f>VLOOKUP(G66,A119:C122,3,FALSE)</f>
        <v>1</v>
      </c>
      <c r="K66" s="398"/>
      <c r="L66" s="154"/>
      <c r="M66" s="154"/>
      <c r="N66" s="154"/>
      <c r="O66" s="154"/>
      <c r="P66" s="154"/>
      <c r="Q66" s="503"/>
      <c r="R66" s="503"/>
    </row>
    <row r="67" spans="1:20">
      <c r="A67" s="154"/>
      <c r="B67" s="154"/>
      <c r="C67" s="154" t="s">
        <v>589</v>
      </c>
      <c r="D67" s="154"/>
      <c r="E67" s="154"/>
      <c r="F67" s="154"/>
      <c r="G67" s="154"/>
      <c r="H67" s="382">
        <v>100</v>
      </c>
      <c r="I67" s="154"/>
      <c r="J67" s="154"/>
      <c r="K67" s="154"/>
      <c r="M67" s="154"/>
      <c r="N67" s="154"/>
      <c r="O67" s="154"/>
      <c r="P67" s="154"/>
      <c r="Q67" s="503">
        <v>35</v>
      </c>
      <c r="R67" s="503"/>
    </row>
    <row r="68" spans="1:20">
      <c r="A68" s="154"/>
      <c r="B68" s="154"/>
      <c r="C68" s="154" t="s">
        <v>590</v>
      </c>
      <c r="D68" s="154"/>
      <c r="E68" s="154"/>
      <c r="F68" s="154"/>
      <c r="G68" s="154"/>
      <c r="H68" s="426">
        <f>CHOOSE(J66,0.005+0.55/(A124+4),0.005+1.76/(A124+12.8))</f>
        <v>1.0288461538461538E-2</v>
      </c>
      <c r="I68" s="154"/>
      <c r="J68" s="154"/>
      <c r="K68" s="154"/>
      <c r="L68" s="154"/>
      <c r="M68" s="154"/>
      <c r="N68" s="154"/>
      <c r="O68" s="154"/>
      <c r="P68" s="154"/>
      <c r="Q68" s="517">
        <f>0.005+0.55/(Q67+4)</f>
        <v>1.9102564102564105E-2</v>
      </c>
      <c r="R68" s="503"/>
    </row>
    <row r="69" spans="1:20">
      <c r="A69" s="154"/>
      <c r="B69" s="154"/>
      <c r="C69" s="154" t="s">
        <v>591</v>
      </c>
      <c r="D69" s="154"/>
      <c r="E69" s="154"/>
      <c r="F69" s="154"/>
      <c r="G69" s="154"/>
      <c r="H69" s="427">
        <f>IF(cylVol=0,0,(120/cylVol)^(1/3))</f>
        <v>1</v>
      </c>
      <c r="I69" s="154"/>
      <c r="J69" s="154"/>
      <c r="K69" s="154"/>
      <c r="L69" s="154"/>
      <c r="M69" s="154"/>
      <c r="N69" s="154"/>
      <c r="O69" s="154"/>
      <c r="P69" s="154"/>
      <c r="Q69" s="508">
        <f>(120/Q58)^(1/3)</f>
        <v>1</v>
      </c>
      <c r="R69" s="503"/>
    </row>
    <row r="70" spans="1:20">
      <c r="A70" s="154"/>
      <c r="B70" s="154"/>
      <c r="C70" s="154" t="s">
        <v>592</v>
      </c>
      <c r="D70" s="154"/>
      <c r="E70" s="154"/>
      <c r="F70" s="154"/>
      <c r="G70" s="154"/>
      <c r="H70" s="157">
        <f>cylVol*H68*H69*365</f>
        <v>450.63461538461542</v>
      </c>
      <c r="I70" s="154"/>
      <c r="J70" s="154"/>
      <c r="K70" s="154"/>
      <c r="L70" s="154"/>
      <c r="M70" s="154"/>
      <c r="N70" s="154"/>
      <c r="O70" s="154"/>
      <c r="P70" s="154"/>
      <c r="Q70" s="505">
        <f>Q58*Q68*Q69*365</f>
        <v>836.69230769230785</v>
      </c>
      <c r="R70" s="503"/>
    </row>
    <row r="71" spans="1:20">
      <c r="A71" s="154"/>
      <c r="B71" s="154" t="s">
        <v>326</v>
      </c>
      <c r="C71" s="154"/>
      <c r="D71" s="154"/>
      <c r="E71" s="154"/>
      <c r="F71" s="154"/>
      <c r="G71" s="154"/>
      <c r="H71" s="154"/>
      <c r="I71" s="154"/>
      <c r="J71" s="154"/>
      <c r="K71" s="154"/>
      <c r="L71" s="154"/>
      <c r="M71" s="154"/>
      <c r="N71" s="154"/>
      <c r="O71" s="154"/>
      <c r="P71" s="154"/>
      <c r="Q71" s="503"/>
      <c r="R71" s="503"/>
    </row>
    <row r="72" spans="1:20">
      <c r="A72" s="154"/>
      <c r="B72" s="154" t="s">
        <v>593</v>
      </c>
      <c r="C72" s="154"/>
      <c r="D72" s="154"/>
      <c r="E72" s="154"/>
      <c r="F72" s="155"/>
      <c r="G72" s="157">
        <f>IF(H60,H64,H70)</f>
        <v>450.63461538461542</v>
      </c>
      <c r="H72" s="155"/>
      <c r="I72" s="154"/>
      <c r="J72" s="154"/>
      <c r="K72" s="154"/>
      <c r="L72" s="154"/>
      <c r="M72" s="154"/>
      <c r="N72" s="154"/>
      <c r="O72" s="154"/>
      <c r="P72" s="154"/>
      <c r="Q72" s="503"/>
      <c r="R72" s="503"/>
    </row>
    <row r="73" spans="1:20">
      <c r="A73" s="154"/>
      <c r="B73" s="154" t="s">
        <v>594</v>
      </c>
      <c r="C73" s="154"/>
      <c r="D73" s="154"/>
      <c r="E73" s="154"/>
      <c r="F73" s="155"/>
      <c r="G73" s="382">
        <v>0.6</v>
      </c>
      <c r="H73" s="155"/>
      <c r="I73" s="154"/>
      <c r="J73" s="154"/>
      <c r="K73" s="154"/>
      <c r="L73" s="154"/>
      <c r="M73" s="154"/>
      <c r="N73" s="154"/>
      <c r="O73" s="154"/>
      <c r="P73" s="154"/>
      <c r="Q73" s="503">
        <v>0.6</v>
      </c>
      <c r="R73" s="503"/>
    </row>
    <row r="74" spans="1:20">
      <c r="A74" s="154"/>
      <c r="B74" s="154" t="s">
        <v>595</v>
      </c>
      <c r="C74" s="154"/>
      <c r="D74" s="154"/>
      <c r="E74" s="154"/>
      <c r="F74" s="155"/>
      <c r="G74" s="382">
        <v>0.9</v>
      </c>
      <c r="H74" s="155">
        <f>G73*G74</f>
        <v>0.54</v>
      </c>
      <c r="I74" s="154"/>
      <c r="J74" s="154"/>
      <c r="K74" s="154"/>
      <c r="L74" s="154"/>
      <c r="M74" s="154"/>
      <c r="N74" s="154"/>
      <c r="O74" s="154"/>
      <c r="P74" s="154"/>
      <c r="Q74" s="503">
        <v>0.9</v>
      </c>
      <c r="R74" s="503"/>
    </row>
    <row r="75" spans="1:20" ht="13">
      <c r="A75" s="36" t="s">
        <v>326</v>
      </c>
      <c r="B75" s="154"/>
      <c r="C75" s="154"/>
      <c r="D75" s="154"/>
      <c r="E75" s="154"/>
      <c r="F75" s="155"/>
      <c r="G75" s="157"/>
      <c r="H75" s="155"/>
      <c r="I75" s="154"/>
      <c r="J75" s="154"/>
      <c r="K75" s="154"/>
      <c r="L75" s="154"/>
      <c r="M75" s="154"/>
      <c r="N75" s="154"/>
      <c r="O75" s="154"/>
      <c r="P75" s="154"/>
      <c r="R75" s="503"/>
    </row>
    <row r="76" spans="1:20">
      <c r="A76" s="154" t="s">
        <v>596</v>
      </c>
      <c r="B76" s="154"/>
      <c r="C76" s="154"/>
      <c r="D76" s="154"/>
      <c r="E76" s="154"/>
      <c r="F76" s="157">
        <f>IF(F56,G72*H74,0)</f>
        <v>243.34269230769235</v>
      </c>
      <c r="G76" s="155"/>
      <c r="H76" s="157"/>
      <c r="I76" s="154"/>
      <c r="J76" s="154"/>
      <c r="K76" s="154"/>
      <c r="L76" s="154"/>
      <c r="M76" s="154"/>
      <c r="N76" s="154"/>
      <c r="O76" s="154"/>
      <c r="P76" s="154"/>
      <c r="Q76" s="505">
        <f>Q70*Q73*Q74</f>
        <v>451.81384615384621</v>
      </c>
      <c r="R76" s="503"/>
    </row>
    <row r="77" spans="1:20">
      <c r="A77" s="154"/>
      <c r="B77" s="154"/>
      <c r="C77" s="154"/>
      <c r="D77" s="154"/>
      <c r="E77" s="154"/>
      <c r="F77" s="155"/>
      <c r="G77" s="157"/>
      <c r="H77" s="157"/>
      <c r="I77" s="154"/>
      <c r="J77" s="154"/>
      <c r="K77" s="154"/>
      <c r="L77" s="154"/>
      <c r="M77" s="154"/>
      <c r="N77" s="154"/>
      <c r="O77" s="154"/>
      <c r="P77" s="154"/>
      <c r="Q77" s="505"/>
      <c r="R77" s="503"/>
    </row>
    <row r="78" spans="1:20">
      <c r="A78" s="154" t="s">
        <v>597</v>
      </c>
      <c r="B78" s="154"/>
      <c r="C78" s="154"/>
      <c r="D78" s="154"/>
      <c r="E78" s="154"/>
      <c r="F78" s="382" t="s">
        <v>246</v>
      </c>
      <c r="G78" s="155">
        <f>VLOOKUP(F78,$A$114:$B$116,2,FALSE)</f>
        <v>0</v>
      </c>
      <c r="H78" s="157"/>
      <c r="I78" s="154"/>
      <c r="J78" s="154"/>
      <c r="K78" s="154"/>
      <c r="L78" s="154"/>
      <c r="M78" s="154"/>
      <c r="N78" s="154"/>
      <c r="O78" s="154"/>
      <c r="P78" s="154"/>
      <c r="Q78" s="503"/>
      <c r="R78" s="503"/>
      <c r="T78" s="363" t="s">
        <v>206</v>
      </c>
    </row>
    <row r="79" spans="1:20" ht="13">
      <c r="A79" s="36" t="s">
        <v>369</v>
      </c>
      <c r="B79" s="154"/>
      <c r="C79" s="154"/>
      <c r="D79" s="154"/>
      <c r="E79" s="154"/>
      <c r="F79" s="155"/>
      <c r="G79" s="157"/>
      <c r="H79" s="157"/>
      <c r="I79" s="154"/>
      <c r="J79" s="154"/>
      <c r="K79" s="154"/>
      <c r="L79" s="154"/>
      <c r="M79" s="154"/>
      <c r="N79" s="154"/>
      <c r="O79" s="154"/>
      <c r="P79" s="154"/>
      <c r="Q79" s="503"/>
      <c r="R79" s="503"/>
    </row>
    <row r="80" spans="1:20">
      <c r="A80" s="154"/>
      <c r="B80" s="154" t="s">
        <v>598</v>
      </c>
      <c r="C80" s="154"/>
      <c r="D80" s="154"/>
      <c r="E80" s="154"/>
      <c r="F80" s="155"/>
      <c r="G80" s="157"/>
      <c r="H80" s="157"/>
      <c r="I80" s="154"/>
      <c r="J80" s="154"/>
      <c r="K80" s="154"/>
      <c r="L80" s="154"/>
      <c r="M80" s="154"/>
      <c r="N80" s="154"/>
      <c r="O80" s="154"/>
      <c r="P80" s="154"/>
      <c r="Q80" s="503"/>
      <c r="R80" s="503"/>
    </row>
    <row r="81" spans="1:18" ht="13">
      <c r="A81" s="1"/>
      <c r="B81" s="154" t="s">
        <v>599</v>
      </c>
      <c r="C81" s="154"/>
      <c r="D81" s="154"/>
      <c r="E81" s="154"/>
      <c r="F81" s="155"/>
      <c r="G81" s="157">
        <f>IF(G78,SWH!J25,0)</f>
        <v>0</v>
      </c>
      <c r="H81" s="155"/>
      <c r="I81" s="154"/>
      <c r="J81" s="154"/>
      <c r="K81" s="154"/>
      <c r="L81" s="154"/>
      <c r="M81" s="154"/>
      <c r="N81" s="154"/>
      <c r="O81" s="154"/>
      <c r="P81" s="154"/>
      <c r="Q81" s="503"/>
      <c r="R81" s="503"/>
    </row>
    <row r="82" spans="1:18" ht="13">
      <c r="A82" s="1"/>
      <c r="B82" s="154" t="s">
        <v>600</v>
      </c>
      <c r="C82" s="154"/>
      <c r="D82" s="154"/>
      <c r="E82" s="154"/>
      <c r="F82" s="155"/>
      <c r="G82" s="155">
        <f>IF(AND(G78,SWH!J19),SWH!J17,0)</f>
        <v>0</v>
      </c>
      <c r="H82" s="155"/>
      <c r="I82" s="154"/>
      <c r="J82" s="154"/>
      <c r="K82" s="154"/>
      <c r="L82" s="154"/>
      <c r="M82" s="154"/>
      <c r="N82" s="154"/>
      <c r="O82" s="154"/>
      <c r="P82" s="154"/>
      <c r="Q82" s="503"/>
      <c r="R82" s="503"/>
    </row>
    <row r="83" spans="1:18" ht="13">
      <c r="A83" s="1"/>
      <c r="B83" s="154" t="s">
        <v>601</v>
      </c>
      <c r="C83" s="154"/>
      <c r="D83" s="154"/>
      <c r="E83" s="154"/>
      <c r="F83" s="382" t="s">
        <v>246</v>
      </c>
      <c r="G83" s="155">
        <f>VLOOKUP(F83,$A$114:$B$116,2,FALSE)</f>
        <v>0</v>
      </c>
      <c r="H83" s="155"/>
      <c r="I83" s="154"/>
      <c r="J83" s="154"/>
      <c r="K83" s="154"/>
      <c r="L83" s="154"/>
      <c r="M83" s="154"/>
      <c r="N83" s="154"/>
      <c r="O83" s="154"/>
      <c r="P83" s="154"/>
      <c r="Q83" s="503"/>
      <c r="R83" s="503"/>
    </row>
    <row r="84" spans="1:18" ht="13">
      <c r="A84" s="1"/>
      <c r="B84" s="154" t="s">
        <v>602</v>
      </c>
      <c r="C84" s="154"/>
      <c r="D84" s="154"/>
      <c r="E84" s="154"/>
      <c r="F84" s="155"/>
      <c r="G84" s="428">
        <f>IF(AND(G78,G83=0),75,0)</f>
        <v>0</v>
      </c>
      <c r="H84" s="155"/>
      <c r="I84" s="154"/>
      <c r="J84" s="154"/>
      <c r="K84" s="154"/>
      <c r="L84" s="154"/>
      <c r="M84" s="154"/>
      <c r="N84" s="154"/>
      <c r="O84" s="154"/>
      <c r="P84" s="154"/>
      <c r="Q84" s="503"/>
      <c r="R84" s="503"/>
    </row>
    <row r="85" spans="1:18" ht="13">
      <c r="A85" s="36" t="s">
        <v>326</v>
      </c>
      <c r="B85" s="154"/>
      <c r="C85" s="154"/>
      <c r="D85" s="154"/>
      <c r="E85" s="154"/>
      <c r="F85" s="154"/>
      <c r="G85" s="154"/>
      <c r="H85" s="154"/>
      <c r="I85" s="154"/>
      <c r="J85" s="154"/>
      <c r="K85" s="154"/>
      <c r="L85" s="154"/>
      <c r="M85" s="154"/>
      <c r="N85" s="154"/>
      <c r="O85" s="154"/>
      <c r="P85" s="154"/>
      <c r="Q85" s="503"/>
      <c r="R85" s="503"/>
    </row>
    <row r="86" spans="1:18">
      <c r="A86" s="154" t="s">
        <v>603</v>
      </c>
      <c r="B86" s="154"/>
      <c r="C86" s="154"/>
      <c r="D86" s="154"/>
      <c r="E86" s="154"/>
      <c r="F86" s="154"/>
      <c r="G86" s="157">
        <f>IF(cylVol=0,0,F76*(cylVol-G82)/cylVol)</f>
        <v>243.34269230769235</v>
      </c>
      <c r="H86" s="398"/>
      <c r="I86" s="154"/>
      <c r="J86" s="154"/>
      <c r="K86" s="154"/>
      <c r="L86" s="154"/>
      <c r="M86" s="154"/>
      <c r="N86" s="154"/>
      <c r="O86" s="154"/>
      <c r="P86" s="154"/>
      <c r="Q86" s="503"/>
      <c r="R86" s="503"/>
    </row>
    <row r="87" spans="1:18">
      <c r="A87" s="154"/>
      <c r="B87" s="154"/>
      <c r="C87" s="154"/>
      <c r="D87" s="154"/>
      <c r="E87" s="154"/>
      <c r="F87" s="154"/>
      <c r="G87" s="157"/>
      <c r="H87" s="398"/>
      <c r="I87" s="154"/>
      <c r="J87" s="154"/>
      <c r="K87" s="154"/>
      <c r="L87" s="154"/>
      <c r="M87" s="154"/>
      <c r="N87" s="154"/>
      <c r="O87" s="154"/>
      <c r="P87" s="154"/>
      <c r="Q87" s="503"/>
      <c r="R87" s="503"/>
    </row>
    <row r="88" spans="1:18" ht="13">
      <c r="A88" s="154" t="s">
        <v>604</v>
      </c>
      <c r="B88" s="154"/>
      <c r="C88" s="154"/>
      <c r="D88" s="154"/>
      <c r="E88" s="154"/>
      <c r="F88" s="154"/>
      <c r="G88" s="48">
        <v>360</v>
      </c>
      <c r="H88" s="398"/>
      <c r="I88" s="154"/>
      <c r="J88" s="154"/>
      <c r="K88" s="154"/>
      <c r="L88" s="154"/>
      <c r="M88" s="154"/>
      <c r="N88" s="154"/>
      <c r="O88" s="154"/>
      <c r="P88" s="154"/>
      <c r="Q88" s="503">
        <v>610</v>
      </c>
      <c r="R88" s="503"/>
    </row>
    <row r="89" spans="1:18">
      <c r="A89" s="154" t="s">
        <v>605</v>
      </c>
      <c r="B89" s="154"/>
      <c r="C89" s="154"/>
      <c r="D89" s="154"/>
      <c r="E89" s="154"/>
      <c r="F89" s="154"/>
      <c r="G89" s="383">
        <f>(G88/2)*(1+N/4)</f>
        <v>309.77145736250912</v>
      </c>
      <c r="H89" s="398"/>
      <c r="I89" s="154"/>
      <c r="J89" s="154"/>
      <c r="K89" s="154"/>
      <c r="L89" s="154"/>
      <c r="M89" s="154"/>
      <c r="N89" s="154"/>
      <c r="O89" s="154"/>
      <c r="P89" s="154"/>
      <c r="Q89" s="505">
        <f>(Q88/2)*(1+N/4)</f>
        <v>524.89052497536261</v>
      </c>
      <c r="R89" s="503"/>
    </row>
    <row r="90" spans="1:18">
      <c r="A90" s="154"/>
      <c r="B90" s="154"/>
      <c r="C90" s="154"/>
      <c r="D90" s="154"/>
      <c r="E90" s="154"/>
      <c r="F90" s="154"/>
      <c r="G90" s="157"/>
      <c r="H90" s="398"/>
      <c r="I90" s="154"/>
      <c r="J90" s="154"/>
      <c r="K90" s="154"/>
      <c r="L90" s="154"/>
      <c r="M90" s="154"/>
      <c r="N90" s="154"/>
      <c r="O90" s="154"/>
      <c r="P90" s="154"/>
      <c r="Q90" s="505"/>
      <c r="R90" s="503"/>
    </row>
    <row r="91" spans="1:18">
      <c r="A91" s="154" t="s">
        <v>606</v>
      </c>
      <c r="B91" s="154"/>
      <c r="C91" s="154"/>
      <c r="D91" s="154"/>
      <c r="E91" s="154"/>
      <c r="F91" s="154"/>
      <c r="G91" s="154"/>
      <c r="H91" s="154"/>
      <c r="I91" s="382"/>
      <c r="J91" s="398" t="s">
        <v>607</v>
      </c>
      <c r="K91" s="154"/>
      <c r="L91" s="154"/>
      <c r="M91" s="154"/>
      <c r="N91" s="154"/>
      <c r="O91" s="154"/>
      <c r="P91" s="154"/>
      <c r="Q91" s="503"/>
      <c r="R91" s="503"/>
    </row>
    <row r="92" spans="1:18">
      <c r="A92" s="154" t="s">
        <v>608</v>
      </c>
      <c r="B92" s="154"/>
      <c r="C92" s="154"/>
      <c r="D92" s="154"/>
      <c r="E92" s="154"/>
      <c r="F92" s="154"/>
      <c r="G92" s="154"/>
      <c r="H92" s="154"/>
      <c r="I92" s="382"/>
      <c r="J92" s="154" t="s">
        <v>609</v>
      </c>
      <c r="K92" s="154"/>
      <c r="L92" s="154"/>
      <c r="M92" s="154"/>
      <c r="N92" s="154"/>
      <c r="O92" s="154"/>
      <c r="P92" s="154"/>
      <c r="Q92" s="503"/>
      <c r="R92" s="503"/>
    </row>
    <row r="93" spans="1:18">
      <c r="A93" s="154" t="s">
        <v>610</v>
      </c>
      <c r="B93" s="154"/>
      <c r="C93" s="154"/>
      <c r="D93" s="154"/>
      <c r="E93" s="154"/>
      <c r="F93" s="154"/>
      <c r="G93" s="154"/>
      <c r="H93" s="384" t="s">
        <v>245</v>
      </c>
      <c r="I93" s="155">
        <f>VLOOKUP(H93,$A$114:$B$116,2,FALSE)</f>
        <v>1</v>
      </c>
      <c r="J93" s="154"/>
      <c r="K93" s="154"/>
      <c r="L93" s="154"/>
      <c r="M93" s="154"/>
      <c r="N93" s="154"/>
      <c r="O93" s="154"/>
      <c r="P93" s="154"/>
      <c r="Q93" s="503"/>
      <c r="R93" s="503"/>
    </row>
    <row r="94" spans="1:18" ht="13">
      <c r="A94" s="154" t="s">
        <v>611</v>
      </c>
      <c r="B94" s="154"/>
      <c r="C94" s="154"/>
      <c r="D94" s="154"/>
      <c r="E94" s="154"/>
      <c r="F94" s="9" t="s">
        <v>206</v>
      </c>
      <c r="G94" s="154"/>
      <c r="H94" s="384" t="s">
        <v>246</v>
      </c>
      <c r="I94" s="155">
        <f>VLOOKUP(H94,$A$114:$B$116,2,FALSE)</f>
        <v>0</v>
      </c>
      <c r="J94" s="156" t="s">
        <v>612</v>
      </c>
      <c r="K94" s="155">
        <f>IF(I94,0.33,0)</f>
        <v>0</v>
      </c>
      <c r="L94" s="154"/>
      <c r="M94" s="154"/>
      <c r="N94" s="154"/>
      <c r="O94" s="154"/>
      <c r="P94" s="154"/>
      <c r="Q94" s="503"/>
      <c r="R94" s="503"/>
    </row>
    <row r="95" spans="1:18" ht="13">
      <c r="A95" s="154"/>
      <c r="B95" s="154"/>
      <c r="C95" s="154"/>
      <c r="D95" s="154"/>
      <c r="E95" s="154"/>
      <c r="F95" s="9" t="s">
        <v>206</v>
      </c>
      <c r="G95" s="154"/>
      <c r="H95" s="155"/>
      <c r="I95" s="155"/>
      <c r="J95" s="156"/>
      <c r="K95" s="155"/>
      <c r="L95" s="154"/>
      <c r="M95" s="154"/>
      <c r="N95" s="154"/>
      <c r="O95" s="154"/>
      <c r="P95" s="154"/>
      <c r="Q95" s="503"/>
      <c r="R95" s="503"/>
    </row>
    <row r="96" spans="1:18">
      <c r="A96" s="154" t="s">
        <v>613</v>
      </c>
      <c r="B96" s="154"/>
      <c r="C96" s="154"/>
      <c r="D96" s="154"/>
      <c r="E96" s="154"/>
      <c r="F96" s="157">
        <f>IF(I94,0.5*G81,G81)</f>
        <v>0</v>
      </c>
      <c r="G96" s="154"/>
      <c r="H96" s="154"/>
      <c r="I96" s="154"/>
      <c r="J96" s="156"/>
      <c r="K96" s="154"/>
      <c r="L96" s="154"/>
      <c r="M96" s="154"/>
      <c r="N96" s="154"/>
      <c r="O96" s="154"/>
      <c r="P96" s="154"/>
      <c r="Q96" s="503"/>
      <c r="R96" s="503"/>
    </row>
    <row r="97" spans="1:23">
      <c r="A97" s="154" t="s">
        <v>614</v>
      </c>
      <c r="B97" s="154"/>
      <c r="C97" s="154"/>
      <c r="D97" s="154"/>
      <c r="E97" s="154"/>
      <c r="F97" s="157">
        <f>IF(I94,0.5*G81,0)</f>
        <v>0</v>
      </c>
      <c r="G97" s="154"/>
      <c r="H97" s="154"/>
      <c r="I97" s="154"/>
      <c r="J97" s="156"/>
      <c r="K97" s="154"/>
      <c r="L97" s="154"/>
      <c r="M97" s="154"/>
      <c r="N97" s="154"/>
      <c r="O97" s="154"/>
      <c r="P97" s="154"/>
      <c r="Q97" s="503"/>
      <c r="R97" s="503"/>
    </row>
    <row r="98" spans="1:23">
      <c r="A98" s="154" t="s">
        <v>615</v>
      </c>
      <c r="B98" s="154"/>
      <c r="C98" s="154"/>
      <c r="D98" s="154"/>
      <c r="E98" s="154"/>
      <c r="F98" s="157">
        <f>IF(I94,0.67*I29,I29)</f>
        <v>0</v>
      </c>
      <c r="G98" s="154"/>
      <c r="H98" s="154"/>
      <c r="I98" s="154"/>
      <c r="J98" s="156"/>
      <c r="K98" s="154"/>
      <c r="L98" s="154"/>
      <c r="M98" s="154"/>
      <c r="N98" s="154"/>
      <c r="O98" s="154"/>
      <c r="P98" s="154"/>
      <c r="Q98" s="503"/>
      <c r="R98" s="503"/>
    </row>
    <row r="99" spans="1:23">
      <c r="A99" s="154" t="s">
        <v>616</v>
      </c>
      <c r="B99" s="154"/>
      <c r="C99" s="154"/>
      <c r="D99" s="154"/>
      <c r="E99" s="154"/>
      <c r="F99" s="157">
        <f>IF(I94,0.33*I29,0)</f>
        <v>0</v>
      </c>
      <c r="G99" s="154"/>
      <c r="H99" s="154"/>
      <c r="I99" s="154"/>
      <c r="J99" s="156"/>
      <c r="K99" s="154"/>
      <c r="L99" s="154"/>
      <c r="M99" s="154"/>
      <c r="N99" s="154"/>
      <c r="O99" s="154"/>
      <c r="P99" s="154"/>
      <c r="Q99" s="503"/>
      <c r="R99" s="503"/>
    </row>
    <row r="100" spans="1:23" ht="13">
      <c r="A100" s="154" t="s">
        <v>617</v>
      </c>
      <c r="B100" s="154"/>
      <c r="C100" s="154"/>
      <c r="D100" s="154"/>
      <c r="E100" s="154"/>
      <c r="F100" s="46">
        <f>(1-K94)*(F50+G54+G86+G89+(I91-I92))-F96-F98</f>
        <v>2488.6104499012713</v>
      </c>
      <c r="G100" s="154"/>
      <c r="H100" s="154"/>
      <c r="I100" s="154"/>
      <c r="J100" s="154"/>
      <c r="K100" s="154"/>
      <c r="L100" s="154"/>
      <c r="M100" s="154"/>
      <c r="N100" s="154"/>
      <c r="O100" s="154"/>
      <c r="P100" s="429"/>
      <c r="Q100" s="518">
        <f>Q50+Q54+Q76+Q89</f>
        <v>3703.2727103047396</v>
      </c>
    </row>
    <row r="101" spans="1:23" ht="13">
      <c r="A101" s="154" t="s">
        <v>618</v>
      </c>
      <c r="B101" s="154"/>
      <c r="C101" s="154"/>
      <c r="D101" s="154"/>
      <c r="E101" s="154"/>
      <c r="F101" s="46">
        <f>K94*(F50+G54+G86)-F97-F99</f>
        <v>0</v>
      </c>
      <c r="G101" s="154"/>
      <c r="H101" s="154"/>
      <c r="I101" s="154" t="s">
        <v>619</v>
      </c>
      <c r="J101" s="154"/>
      <c r="L101" s="154"/>
      <c r="M101" s="154"/>
      <c r="N101" s="154"/>
      <c r="O101" s="154"/>
      <c r="Q101" s="505">
        <v>0</v>
      </c>
    </row>
    <row r="102" spans="1:23">
      <c r="A102" s="154" t="s">
        <v>620</v>
      </c>
      <c r="B102" s="154"/>
      <c r="C102" s="154"/>
      <c r="D102" s="154"/>
      <c r="E102" s="154"/>
      <c r="F102" s="157">
        <f>0.8*G86*I93+0.8*(G54+G89)+0.25*F50+0.25*I91+0.25*F34</f>
        <v>1086.0438395629922</v>
      </c>
      <c r="G102" s="154"/>
      <c r="H102" s="154"/>
      <c r="I102" s="154" t="s">
        <v>621</v>
      </c>
      <c r="J102" s="398">
        <f>F50</f>
        <v>1645.1718551964095</v>
      </c>
      <c r="L102" s="115"/>
      <c r="M102" s="115"/>
      <c r="N102" s="115"/>
      <c r="O102" s="115"/>
      <c r="P102" s="430"/>
      <c r="Q102" s="505">
        <f>0.8*Q76+0.8*(Q54+Q89)+0.25*Q50</f>
        <v>1687.9474696792311</v>
      </c>
      <c r="T102" s="363" t="s">
        <v>206</v>
      </c>
      <c r="W102" s="115" t="s">
        <v>206</v>
      </c>
    </row>
    <row r="103" spans="1:23" ht="13">
      <c r="A103" s="154"/>
      <c r="B103" s="154"/>
      <c r="C103" s="154"/>
      <c r="D103" s="154" t="s">
        <v>622</v>
      </c>
      <c r="E103" s="154"/>
      <c r="F103" s="46">
        <f>F102/8.76</f>
        <v>123.97760725604934</v>
      </c>
      <c r="G103" s="154"/>
      <c r="H103" s="154"/>
      <c r="I103" s="154" t="s">
        <v>623</v>
      </c>
      <c r="J103" s="398">
        <f>G54</f>
        <v>290.32444503466053</v>
      </c>
      <c r="M103" s="115"/>
      <c r="N103" s="115"/>
      <c r="O103" s="115"/>
      <c r="P103" s="192"/>
      <c r="Q103" s="513">
        <f>Q102/8.76</f>
        <v>192.68806731498071</v>
      </c>
    </row>
    <row r="104" spans="1:23">
      <c r="A104" s="115"/>
      <c r="B104" s="115"/>
      <c r="C104" s="115"/>
      <c r="D104" s="115"/>
      <c r="E104" s="115"/>
      <c r="F104" s="115"/>
      <c r="G104" s="115"/>
      <c r="H104" s="115"/>
      <c r="I104" s="154" t="s">
        <v>624</v>
      </c>
      <c r="J104" s="398">
        <f>G86</f>
        <v>243.34269230769235</v>
      </c>
      <c r="M104" s="115"/>
      <c r="N104" s="115"/>
      <c r="O104" s="115"/>
      <c r="P104" s="392"/>
      <c r="Q104" s="506"/>
      <c r="R104" s="506"/>
    </row>
    <row r="105" spans="1:23" ht="13">
      <c r="A105" s="115" t="s">
        <v>625</v>
      </c>
      <c r="B105" s="115"/>
      <c r="C105" s="46">
        <f>100*G81/F49</f>
        <v>0</v>
      </c>
      <c r="D105" s="115"/>
      <c r="E105" s="115"/>
      <c r="F105" s="115"/>
      <c r="G105" s="115"/>
      <c r="H105" s="115"/>
      <c r="I105" s="154" t="s">
        <v>626</v>
      </c>
      <c r="J105" s="398">
        <f>G89</f>
        <v>309.77145736250912</v>
      </c>
      <c r="M105" s="115"/>
      <c r="N105" s="115"/>
      <c r="O105" s="115"/>
      <c r="P105" s="392"/>
      <c r="Q105" s="506"/>
      <c r="R105" s="519"/>
    </row>
    <row r="106" spans="1:23">
      <c r="A106" s="692" t="str">
        <f>IF(C105&gt;60,"If solar fraction is &gt; 60% then the system may be oversized. This statement does not apply to solar heating systems also providing space heating.","")</f>
        <v/>
      </c>
      <c r="B106" s="693"/>
      <c r="C106" s="693"/>
      <c r="D106" s="693"/>
      <c r="E106" s="693"/>
      <c r="F106" s="694"/>
      <c r="G106" s="98"/>
      <c r="H106" s="115"/>
      <c r="I106" s="154" t="s">
        <v>627</v>
      </c>
      <c r="J106" s="154">
        <f>I91</f>
        <v>0</v>
      </c>
      <c r="M106" s="115"/>
      <c r="N106" s="115"/>
      <c r="O106" s="115"/>
      <c r="P106" s="392"/>
      <c r="Q106" s="506"/>
      <c r="R106" s="519"/>
    </row>
    <row r="107" spans="1:23" ht="28.5" customHeight="1">
      <c r="A107" s="695"/>
      <c r="B107" s="696"/>
      <c r="C107" s="696"/>
      <c r="D107" s="696"/>
      <c r="E107" s="696"/>
      <c r="F107" s="697"/>
      <c r="G107" s="98"/>
      <c r="H107" s="115"/>
      <c r="I107" s="154" t="s">
        <v>628</v>
      </c>
      <c r="J107" s="398">
        <f>G81</f>
        <v>0</v>
      </c>
      <c r="M107" s="115"/>
      <c r="N107" s="115"/>
      <c r="O107" s="115"/>
      <c r="P107" s="392"/>
      <c r="Q107" s="506"/>
      <c r="R107" s="519"/>
    </row>
    <row r="108" spans="1:23">
      <c r="A108" s="98"/>
      <c r="B108" s="98"/>
      <c r="C108" s="98"/>
      <c r="D108" s="98"/>
      <c r="E108" s="98"/>
      <c r="F108" s="98"/>
      <c r="G108" s="98"/>
      <c r="H108" s="115"/>
      <c r="I108" s="115"/>
      <c r="J108" s="115"/>
      <c r="M108" s="115"/>
      <c r="N108" s="115"/>
      <c r="O108" s="115"/>
      <c r="P108" s="115"/>
      <c r="Q108" s="506"/>
      <c r="R108" s="506"/>
    </row>
    <row r="109" spans="1:23">
      <c r="A109" s="98"/>
      <c r="B109" s="98"/>
      <c r="C109" s="98"/>
      <c r="D109" s="98"/>
      <c r="E109" s="98"/>
      <c r="F109" s="98"/>
      <c r="G109" s="98"/>
      <c r="H109" s="115"/>
      <c r="I109" s="115"/>
      <c r="J109" s="115"/>
      <c r="M109" s="115"/>
      <c r="N109" s="115"/>
      <c r="O109" s="115"/>
      <c r="P109" s="115"/>
      <c r="Q109" s="506"/>
      <c r="R109" s="506"/>
    </row>
    <row r="110" spans="1:23">
      <c r="A110" s="98"/>
      <c r="B110" s="98"/>
      <c r="C110" s="98"/>
      <c r="D110" s="98"/>
      <c r="E110" s="98"/>
      <c r="F110" s="98"/>
      <c r="G110" s="98"/>
      <c r="H110" s="115"/>
      <c r="I110" s="115"/>
      <c r="J110" s="115"/>
      <c r="K110" s="115"/>
      <c r="L110" s="115"/>
      <c r="M110" s="115"/>
      <c r="N110" s="115"/>
      <c r="O110" s="115"/>
      <c r="P110" s="392"/>
      <c r="Q110" s="506"/>
      <c r="R110" s="519"/>
    </row>
    <row r="111" spans="1:23">
      <c r="A111" s="115"/>
      <c r="B111" s="115"/>
      <c r="C111" s="115"/>
      <c r="D111" s="115"/>
      <c r="E111" s="115"/>
      <c r="F111" s="115"/>
      <c r="G111" s="115"/>
      <c r="H111" s="115"/>
      <c r="I111" s="115"/>
      <c r="J111" s="115"/>
      <c r="K111" s="115"/>
      <c r="L111" s="115"/>
      <c r="M111" s="115"/>
      <c r="N111" s="115"/>
      <c r="O111" s="115"/>
      <c r="P111" s="115"/>
      <c r="Q111" s="506"/>
      <c r="R111" s="506"/>
    </row>
    <row r="112" spans="1:23" ht="13">
      <c r="A112" s="8" t="s">
        <v>225</v>
      </c>
      <c r="B112" s="115"/>
      <c r="C112" s="115"/>
      <c r="D112" s="115"/>
      <c r="E112" s="115"/>
      <c r="F112" s="115"/>
      <c r="G112" s="115"/>
      <c r="H112" s="115"/>
      <c r="I112" s="115"/>
      <c r="J112" s="115"/>
      <c r="K112" s="115"/>
      <c r="L112" s="115"/>
      <c r="M112" s="115"/>
      <c r="N112" s="115"/>
      <c r="O112" s="115"/>
      <c r="P112" s="115"/>
      <c r="Q112" s="506"/>
      <c r="R112" s="506"/>
    </row>
    <row r="113" spans="1:18" ht="13">
      <c r="A113" s="8" t="s">
        <v>342</v>
      </c>
      <c r="B113" s="115"/>
      <c r="C113" s="115"/>
      <c r="D113" s="115"/>
      <c r="E113" s="115"/>
      <c r="F113" s="115"/>
      <c r="G113" s="115"/>
      <c r="H113" s="115"/>
      <c r="I113" s="115"/>
      <c r="J113" s="115"/>
      <c r="K113" s="115"/>
      <c r="L113" s="115"/>
      <c r="M113" s="115"/>
      <c r="N113" s="115"/>
      <c r="O113" s="115"/>
      <c r="P113" s="115"/>
      <c r="Q113" s="506"/>
      <c r="R113" s="506"/>
    </row>
    <row r="114" spans="1:18">
      <c r="A114" s="115" t="s">
        <v>245</v>
      </c>
      <c r="B114" s="115">
        <v>1</v>
      </c>
      <c r="C114" s="115"/>
      <c r="D114" s="115"/>
      <c r="E114" s="115"/>
      <c r="F114" s="115"/>
      <c r="G114" s="115"/>
      <c r="H114" s="115"/>
      <c r="I114" s="115"/>
      <c r="J114" s="115"/>
      <c r="K114" s="115"/>
      <c r="L114" s="115"/>
      <c r="M114" s="115"/>
      <c r="N114" s="115"/>
      <c r="O114" s="115"/>
      <c r="P114" s="115"/>
      <c r="Q114" s="506"/>
      <c r="R114" s="506"/>
    </row>
    <row r="115" spans="1:18">
      <c r="A115" s="115" t="s">
        <v>246</v>
      </c>
      <c r="B115" s="115">
        <v>0</v>
      </c>
      <c r="C115" s="115"/>
      <c r="D115" s="115"/>
      <c r="E115" s="115"/>
      <c r="F115" s="115"/>
      <c r="G115" s="115"/>
      <c r="H115" s="115"/>
      <c r="I115" s="115"/>
      <c r="J115" s="115"/>
      <c r="K115" s="115"/>
      <c r="L115" s="115"/>
      <c r="M115" s="115"/>
      <c r="N115" s="115"/>
      <c r="O115" s="115"/>
      <c r="P115" s="115"/>
      <c r="Q115" s="506"/>
      <c r="R115" s="506"/>
    </row>
    <row r="116" spans="1:18">
      <c r="A116" s="115" t="s">
        <v>250</v>
      </c>
      <c r="B116" s="115">
        <v>0</v>
      </c>
      <c r="C116" s="115"/>
      <c r="D116" s="115"/>
      <c r="E116" s="115"/>
      <c r="F116" s="115"/>
      <c r="G116" s="115"/>
      <c r="H116" s="115"/>
      <c r="I116" s="115"/>
      <c r="J116" s="115"/>
      <c r="K116" s="115"/>
      <c r="L116" s="115"/>
      <c r="M116" s="115"/>
      <c r="N116" s="115"/>
      <c r="O116" s="115"/>
      <c r="P116" s="115"/>
      <c r="Q116" s="506"/>
      <c r="R116" s="506"/>
    </row>
    <row r="117" spans="1:18">
      <c r="A117" s="115"/>
      <c r="B117" s="115"/>
      <c r="C117" s="115"/>
      <c r="D117" s="115"/>
      <c r="E117" s="115"/>
      <c r="F117" s="115"/>
      <c r="G117" s="115"/>
      <c r="H117" s="115"/>
      <c r="I117" s="115"/>
      <c r="J117" s="115"/>
      <c r="K117" s="115"/>
      <c r="L117" s="115"/>
      <c r="M117" s="115"/>
      <c r="N117" s="115"/>
      <c r="O117" s="115"/>
      <c r="P117" s="115"/>
      <c r="Q117" s="506"/>
      <c r="R117" s="506"/>
    </row>
    <row r="118" spans="1:18" ht="13">
      <c r="A118" s="8" t="s">
        <v>629</v>
      </c>
      <c r="B118" s="115"/>
      <c r="C118" s="115"/>
      <c r="D118" s="115"/>
      <c r="E118" s="115"/>
      <c r="F118" s="115"/>
      <c r="G118" s="115"/>
      <c r="H118" s="115"/>
      <c r="I118" s="115"/>
      <c r="J118" s="115"/>
      <c r="K118" s="115"/>
      <c r="L118" s="115"/>
      <c r="M118" s="115"/>
      <c r="N118" s="115"/>
      <c r="O118" s="115"/>
      <c r="P118" s="115"/>
      <c r="Q118" s="506"/>
      <c r="R118" s="506"/>
    </row>
    <row r="119" spans="1:18">
      <c r="A119" s="115" t="s">
        <v>588</v>
      </c>
      <c r="B119" s="115"/>
      <c r="C119" s="115">
        <v>1</v>
      </c>
      <c r="D119" s="115"/>
      <c r="E119" s="115"/>
      <c r="F119" s="115"/>
      <c r="G119" s="115"/>
      <c r="H119" s="115"/>
      <c r="I119" s="115"/>
      <c r="J119" s="115"/>
      <c r="K119" s="115"/>
      <c r="L119" s="115"/>
      <c r="M119" s="115"/>
      <c r="N119" s="115"/>
      <c r="O119" s="115"/>
      <c r="P119" s="115"/>
      <c r="Q119" s="506"/>
      <c r="R119" s="506"/>
    </row>
    <row r="120" spans="1:18">
      <c r="A120" s="115" t="s">
        <v>630</v>
      </c>
      <c r="B120" s="115"/>
      <c r="C120" s="115">
        <v>2</v>
      </c>
      <c r="D120" s="115"/>
      <c r="E120" s="115"/>
      <c r="F120" s="115"/>
      <c r="G120" s="115"/>
      <c r="H120" s="115"/>
      <c r="I120" s="115"/>
      <c r="J120" s="115"/>
      <c r="K120" s="115"/>
      <c r="L120" s="115"/>
      <c r="M120" s="115"/>
      <c r="N120" s="115"/>
      <c r="O120" s="115"/>
      <c r="P120" s="115"/>
      <c r="Q120" s="506"/>
      <c r="R120" s="506"/>
    </row>
    <row r="121" spans="1:18">
      <c r="A121" s="115" t="s">
        <v>145</v>
      </c>
      <c r="B121" s="115"/>
      <c r="C121" s="115">
        <v>2</v>
      </c>
      <c r="D121" s="115"/>
      <c r="E121" s="115"/>
      <c r="F121" s="115"/>
      <c r="G121" s="115"/>
      <c r="H121" s="115"/>
      <c r="I121" s="115"/>
      <c r="J121" s="115"/>
      <c r="K121" s="115"/>
      <c r="L121" s="115"/>
      <c r="M121" s="115"/>
      <c r="N121" s="115"/>
      <c r="O121" s="115"/>
      <c r="P121" s="115"/>
      <c r="Q121" s="506"/>
      <c r="R121" s="506"/>
    </row>
    <row r="122" spans="1:18">
      <c r="A122" s="115" t="s">
        <v>250</v>
      </c>
      <c r="B122" s="115"/>
      <c r="C122" s="115">
        <v>2</v>
      </c>
      <c r="D122" s="115"/>
      <c r="E122" s="115"/>
      <c r="F122" s="115"/>
      <c r="G122" s="115"/>
      <c r="H122" s="115"/>
      <c r="I122" s="115"/>
      <c r="J122" s="115"/>
      <c r="K122" s="115"/>
      <c r="L122" s="115"/>
      <c r="M122" s="115"/>
      <c r="N122" s="115"/>
      <c r="O122" s="115"/>
      <c r="P122" s="115"/>
      <c r="Q122" s="506"/>
      <c r="R122" s="506"/>
    </row>
    <row r="123" spans="1:18" ht="13">
      <c r="A123" s="8" t="s">
        <v>631</v>
      </c>
      <c r="B123" s="115"/>
      <c r="C123" s="115"/>
      <c r="D123" s="115"/>
      <c r="E123" s="115"/>
      <c r="F123" s="115"/>
      <c r="G123" s="115"/>
      <c r="H123" s="115"/>
      <c r="I123" s="115"/>
      <c r="J123" s="115"/>
      <c r="K123" s="115"/>
      <c r="L123" s="115"/>
      <c r="M123" s="115"/>
      <c r="N123" s="115"/>
      <c r="O123" s="115"/>
      <c r="P123" s="115"/>
      <c r="Q123" s="506"/>
      <c r="R123" s="506"/>
    </row>
    <row r="124" spans="1:18">
      <c r="A124" s="154">
        <f>IF(G66="None",0,H67)</f>
        <v>100</v>
      </c>
    </row>
    <row r="126" spans="1:18" ht="13">
      <c r="A126" s="21" t="s">
        <v>632</v>
      </c>
      <c r="B126" s="1"/>
      <c r="C126" s="1"/>
    </row>
    <row r="127" spans="1:18" ht="37.5">
      <c r="B127" s="193" t="s">
        <v>633</v>
      </c>
      <c r="C127" s="193" t="s">
        <v>634</v>
      </c>
    </row>
    <row r="128" spans="1:18">
      <c r="A128" t="s">
        <v>537</v>
      </c>
      <c r="B128">
        <v>7</v>
      </c>
    </row>
    <row r="129" spans="1:20">
      <c r="A129" t="s">
        <v>533</v>
      </c>
      <c r="B129">
        <v>12</v>
      </c>
    </row>
    <row r="130" spans="1:20">
      <c r="A130" t="s">
        <v>635</v>
      </c>
      <c r="B130">
        <v>11</v>
      </c>
    </row>
    <row r="131" spans="1:20">
      <c r="A131" s="115" t="s">
        <v>636</v>
      </c>
      <c r="B131">
        <v>0</v>
      </c>
      <c r="C131">
        <v>9.3000000000000007</v>
      </c>
    </row>
    <row r="133" spans="1:20">
      <c r="A133" s="154"/>
      <c r="B133" s="154"/>
      <c r="C133" s="154"/>
      <c r="D133" s="154"/>
      <c r="E133" s="154"/>
      <c r="F133" s="157"/>
      <c r="G133" s="158"/>
      <c r="H133" s="154"/>
      <c r="I133" s="154"/>
      <c r="J133" s="154"/>
      <c r="K133" s="154"/>
      <c r="L133" s="154"/>
      <c r="M133" s="154"/>
      <c r="N133" s="154"/>
      <c r="O133" s="154"/>
      <c r="P133" s="154"/>
      <c r="Q133" s="503"/>
      <c r="R133" s="503"/>
    </row>
    <row r="134" spans="1:20" ht="13">
      <c r="A134" s="194" t="s">
        <v>637</v>
      </c>
      <c r="B134" s="195"/>
      <c r="C134" s="195"/>
      <c r="D134" s="195"/>
      <c r="E134" s="195"/>
      <c r="F134" s="195"/>
      <c r="G134" s="195"/>
      <c r="H134" s="195"/>
      <c r="I134" s="195"/>
      <c r="J134" s="195"/>
      <c r="K134" s="195"/>
      <c r="L134" s="195"/>
      <c r="M134" s="195"/>
      <c r="N134" s="195"/>
      <c r="O134" s="154"/>
      <c r="P134" s="154"/>
      <c r="Q134" s="503"/>
      <c r="R134" s="503"/>
    </row>
    <row r="135" spans="1:20">
      <c r="A135" s="196" t="s">
        <v>638</v>
      </c>
      <c r="B135" s="197" t="s">
        <v>639</v>
      </c>
      <c r="C135" s="197" t="s">
        <v>640</v>
      </c>
      <c r="D135" s="197" t="s">
        <v>641</v>
      </c>
      <c r="E135" s="197" t="s">
        <v>642</v>
      </c>
      <c r="F135" s="197" t="s">
        <v>643</v>
      </c>
      <c r="G135" s="197" t="s">
        <v>644</v>
      </c>
      <c r="H135" s="197" t="s">
        <v>645</v>
      </c>
      <c r="I135" s="197" t="s">
        <v>646</v>
      </c>
      <c r="J135" s="197" t="s">
        <v>647</v>
      </c>
      <c r="K135" s="197" t="s">
        <v>648</v>
      </c>
      <c r="L135" s="197" t="s">
        <v>649</v>
      </c>
      <c r="M135" s="197" t="s">
        <v>650</v>
      </c>
      <c r="N135" s="197"/>
      <c r="O135" s="154"/>
      <c r="P135" s="154"/>
      <c r="Q135" s="503"/>
      <c r="R135" s="503"/>
    </row>
    <row r="136" spans="1:20">
      <c r="A136" s="197">
        <v>31</v>
      </c>
      <c r="B136" s="197">
        <v>28</v>
      </c>
      <c r="C136" s="197">
        <v>31</v>
      </c>
      <c r="D136" s="197">
        <v>30</v>
      </c>
      <c r="E136" s="197">
        <v>31</v>
      </c>
      <c r="F136" s="197">
        <v>30</v>
      </c>
      <c r="G136" s="197">
        <v>31</v>
      </c>
      <c r="H136" s="197">
        <v>31</v>
      </c>
      <c r="I136" s="197">
        <v>30</v>
      </c>
      <c r="J136" s="197">
        <v>31</v>
      </c>
      <c r="K136" s="197">
        <v>30</v>
      </c>
      <c r="L136" s="197">
        <v>31</v>
      </c>
      <c r="M136" s="197">
        <v>365</v>
      </c>
      <c r="N136" s="197"/>
      <c r="O136" s="154"/>
      <c r="P136" s="154"/>
      <c r="Q136" s="503"/>
      <c r="R136" s="520"/>
    </row>
    <row r="137" spans="1:20">
      <c r="A137" s="154"/>
      <c r="B137" s="154"/>
      <c r="C137" s="154"/>
      <c r="D137" s="154"/>
      <c r="E137" s="154"/>
      <c r="F137" s="157"/>
      <c r="G137" s="158"/>
      <c r="H137" s="154"/>
      <c r="I137" s="154"/>
      <c r="J137" s="154"/>
      <c r="K137" s="154"/>
      <c r="L137" s="154"/>
      <c r="M137" s="154"/>
      <c r="N137" s="154"/>
      <c r="O137" s="154"/>
      <c r="P137" s="154"/>
      <c r="Q137" s="503"/>
      <c r="R137" s="503"/>
    </row>
    <row r="138" spans="1:20">
      <c r="A138" s="154" t="s">
        <v>206</v>
      </c>
      <c r="B138" s="154"/>
      <c r="C138" s="154"/>
      <c r="D138" s="154"/>
      <c r="E138" s="154"/>
      <c r="F138" s="157"/>
      <c r="G138" s="158"/>
      <c r="H138" s="154"/>
      <c r="I138" s="154"/>
      <c r="J138" s="154"/>
      <c r="K138" s="154"/>
      <c r="L138" s="154"/>
      <c r="M138" s="154"/>
      <c r="N138" s="154"/>
      <c r="O138" s="154"/>
      <c r="P138" s="154"/>
      <c r="Q138" s="503"/>
      <c r="R138" s="503"/>
    </row>
    <row r="139" spans="1:20" ht="13">
      <c r="A139" s="194" t="s">
        <v>651</v>
      </c>
      <c r="B139" s="195"/>
      <c r="C139" s="195"/>
      <c r="D139" s="198" t="s">
        <v>206</v>
      </c>
      <c r="E139" s="198" t="s">
        <v>206</v>
      </c>
      <c r="F139" s="198" t="s">
        <v>206</v>
      </c>
      <c r="G139" s="195"/>
      <c r="H139" s="195"/>
      <c r="I139" s="195"/>
      <c r="J139" s="195"/>
      <c r="K139" s="195"/>
      <c r="L139" s="195"/>
      <c r="M139" s="195"/>
      <c r="N139" s="195"/>
      <c r="O139" s="154"/>
      <c r="P139" s="154"/>
      <c r="Q139" s="503"/>
      <c r="R139" s="503"/>
    </row>
    <row r="140" spans="1:20">
      <c r="A140" s="195" t="s">
        <v>638</v>
      </c>
      <c r="B140" s="195" t="s">
        <v>639</v>
      </c>
      <c r="C140" s="195" t="s">
        <v>640</v>
      </c>
      <c r="D140" s="195" t="s">
        <v>641</v>
      </c>
      <c r="E140" s="195" t="s">
        <v>642</v>
      </c>
      <c r="F140" s="195" t="s">
        <v>643</v>
      </c>
      <c r="G140" s="195" t="s">
        <v>644</v>
      </c>
      <c r="H140" s="195" t="s">
        <v>645</v>
      </c>
      <c r="I140" s="195" t="s">
        <v>652</v>
      </c>
      <c r="J140" s="195" t="s">
        <v>647</v>
      </c>
      <c r="K140" s="195" t="s">
        <v>648</v>
      </c>
      <c r="L140" s="195" t="s">
        <v>649</v>
      </c>
      <c r="M140" s="195" t="s">
        <v>650</v>
      </c>
      <c r="N140" s="195"/>
      <c r="O140" s="154"/>
      <c r="P140" s="154"/>
      <c r="Q140" s="503"/>
      <c r="R140" s="503"/>
    </row>
    <row r="141" spans="1:20">
      <c r="A141" s="195">
        <v>7.1</v>
      </c>
      <c r="B141" s="195">
        <v>8.1999999999999993</v>
      </c>
      <c r="C141" s="195">
        <v>9.4</v>
      </c>
      <c r="D141" s="195">
        <v>13.4</v>
      </c>
      <c r="E141" s="195">
        <v>15.3</v>
      </c>
      <c r="F141" s="195">
        <v>17.600000000000001</v>
      </c>
      <c r="G141" s="195">
        <v>18.2</v>
      </c>
      <c r="H141" s="195">
        <v>17.3</v>
      </c>
      <c r="I141" s="195">
        <v>16.100000000000001</v>
      </c>
      <c r="J141" s="195">
        <v>13.5</v>
      </c>
      <c r="K141" s="195">
        <v>10.3</v>
      </c>
      <c r="L141" s="195">
        <v>6.8</v>
      </c>
      <c r="M141" s="199">
        <f>(A141*A$136+B141*B$136+C141*C$136+D141*D$136+E141*E$136+F141*F$136+G141*G$136+H141*H$136+I141*I$136+J141*J$136+K141*K$136+L141*L$136)/365</f>
        <v>12.786849315068492</v>
      </c>
      <c r="N141" s="199"/>
      <c r="O141" s="154"/>
      <c r="P141" s="154"/>
      <c r="T141" s="486" t="s">
        <v>206</v>
      </c>
    </row>
    <row r="142" spans="1:20" ht="13">
      <c r="A142" s="154" t="s">
        <v>206</v>
      </c>
      <c r="B142" s="9"/>
      <c r="C142" s="154"/>
      <c r="D142" s="156"/>
      <c r="E142" s="154"/>
      <c r="F142" s="157" t="s">
        <v>206</v>
      </c>
      <c r="G142" s="154"/>
      <c r="H142" s="154"/>
      <c r="I142" s="154"/>
      <c r="J142" s="154"/>
      <c r="K142" s="154"/>
      <c r="L142" s="154"/>
      <c r="M142" s="154"/>
      <c r="N142" s="154"/>
      <c r="O142" s="154"/>
      <c r="P142" s="154"/>
      <c r="R142" s="503"/>
    </row>
    <row r="143" spans="1:20" ht="13">
      <c r="A143" s="194" t="s">
        <v>653</v>
      </c>
      <c r="B143" s="195"/>
      <c r="C143" s="195"/>
      <c r="D143" s="195"/>
      <c r="E143" s="195"/>
      <c r="F143" s="195"/>
      <c r="G143" s="195" t="s">
        <v>206</v>
      </c>
      <c r="H143" s="195" t="s">
        <v>206</v>
      </c>
      <c r="I143" s="195" t="s">
        <v>206</v>
      </c>
      <c r="J143" s="195" t="s">
        <v>206</v>
      </c>
      <c r="K143" s="195" t="s">
        <v>206</v>
      </c>
      <c r="L143" s="195" t="s">
        <v>206</v>
      </c>
      <c r="M143" s="195" t="s">
        <v>206</v>
      </c>
      <c r="N143" s="195"/>
      <c r="O143" s="154"/>
      <c r="P143" s="154"/>
      <c r="R143" s="503"/>
    </row>
    <row r="144" spans="1:20">
      <c r="A144" s="195" t="s">
        <v>638</v>
      </c>
      <c r="B144" s="195" t="s">
        <v>639</v>
      </c>
      <c r="C144" s="195" t="s">
        <v>640</v>
      </c>
      <c r="D144" s="195" t="s">
        <v>641</v>
      </c>
      <c r="E144" s="195" t="s">
        <v>642</v>
      </c>
      <c r="F144" s="195" t="s">
        <v>643</v>
      </c>
      <c r="G144" s="195" t="s">
        <v>644</v>
      </c>
      <c r="H144" s="195" t="s">
        <v>645</v>
      </c>
      <c r="I144" s="195" t="s">
        <v>652</v>
      </c>
      <c r="J144" s="195" t="s">
        <v>647</v>
      </c>
      <c r="K144" s="195" t="s">
        <v>648</v>
      </c>
      <c r="L144" s="195" t="s">
        <v>649</v>
      </c>
      <c r="M144" s="195" t="s">
        <v>654</v>
      </c>
      <c r="N144" s="195"/>
      <c r="O144" s="154"/>
      <c r="P144" s="154"/>
      <c r="R144" s="503"/>
    </row>
    <row r="145" spans="1:58">
      <c r="A145" s="197">
        <v>41.2</v>
      </c>
      <c r="B145" s="197">
        <v>41.4</v>
      </c>
      <c r="C145" s="197">
        <v>40.1</v>
      </c>
      <c r="D145" s="197">
        <v>37.6</v>
      </c>
      <c r="E145" s="197">
        <v>36.4</v>
      </c>
      <c r="F145" s="197">
        <v>33.9</v>
      </c>
      <c r="G145" s="197">
        <v>30.4</v>
      </c>
      <c r="H145" s="197">
        <v>33.4</v>
      </c>
      <c r="I145" s="197">
        <v>33.5</v>
      </c>
      <c r="J145" s="197">
        <v>36.299999999999997</v>
      </c>
      <c r="K145" s="197">
        <v>39.4</v>
      </c>
      <c r="L145" s="197">
        <v>39.9</v>
      </c>
      <c r="M145" s="197">
        <v>37</v>
      </c>
      <c r="N145" s="197"/>
      <c r="O145" s="154"/>
      <c r="P145" s="154"/>
      <c r="R145" s="503"/>
    </row>
    <row r="146" spans="1:58" ht="13">
      <c r="A146" s="154"/>
      <c r="B146" s="9"/>
      <c r="C146" s="154"/>
      <c r="D146" s="156"/>
      <c r="E146" s="424"/>
      <c r="F146" s="154"/>
      <c r="G146" s="156"/>
      <c r="H146" s="154"/>
      <c r="I146" s="154"/>
      <c r="J146" s="154"/>
      <c r="K146" s="154"/>
      <c r="L146" s="154"/>
      <c r="M146" s="154"/>
      <c r="N146" s="154"/>
      <c r="O146" s="154"/>
      <c r="P146" s="154"/>
      <c r="Q146" s="503"/>
      <c r="R146" s="503"/>
    </row>
    <row r="148" spans="1:58">
      <c r="AJ148" t="s">
        <v>206</v>
      </c>
      <c r="AK148" t="s">
        <v>206</v>
      </c>
      <c r="AL148" t="s">
        <v>206</v>
      </c>
      <c r="AM148" t="s">
        <v>206</v>
      </c>
      <c r="AN148" t="s">
        <v>206</v>
      </c>
      <c r="AO148" t="s">
        <v>206</v>
      </c>
      <c r="AP148" t="s">
        <v>206</v>
      </c>
      <c r="AQ148" t="s">
        <v>206</v>
      </c>
      <c r="AR148" t="s">
        <v>206</v>
      </c>
      <c r="AS148" t="s">
        <v>206</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2.xml><?xml version="1.0" encoding="utf-8"?>
<ds:datastoreItem xmlns:ds="http://schemas.openxmlformats.org/officeDocument/2006/customXml" ds:itemID="{F06A2B2E-47E6-4DE5-9A87-2BF64B3A0EB3}"/>
</file>

<file path=customXml/itemProps3.xml><?xml version="1.0" encoding="utf-8"?>
<ds:datastoreItem xmlns:ds="http://schemas.openxmlformats.org/officeDocument/2006/customXml" ds:itemID="{15966DA3-74D7-4FF9-BF98-D1EA95546DE0}">
  <ds:schemaRef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8d70b670-d064-4aa3-bdfb-67aa7bbc18e5"/>
    <ds:schemaRef ds:uri="http://purl.org/dc/dcmitype/"/>
    <ds:schemaRef ds:uri="http://schemas.microsoft.com/office/2006/documentManagement/types"/>
    <ds:schemaRef ds:uri="eb841b8c-d019-4ba2-8991-0eeceb308fc1"/>
    <ds:schemaRef ds:uri="http://purl.org/dc/terms/"/>
  </ds:schemaRefs>
</ds:datastoreItem>
</file>

<file path=customXml/itemProps4.xml><?xml version="1.0" encoding="utf-8"?>
<ds:datastoreItem xmlns:ds="http://schemas.openxmlformats.org/officeDocument/2006/customXml" ds:itemID="{EEE1B8F5-1F91-4319-BC75-1360288FC2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4.2 v1.4 - Example B TGD L</dc:title>
  <dc:subject/>
  <dc:creator>Antonella.Uras@seai.ie</dc:creator>
  <cp:keywords/>
  <dc:description>Developed for SEI</dc:description>
  <cp:lastModifiedBy>Uras Antonella</cp:lastModifiedBy>
  <cp:revision/>
  <dcterms:created xsi:type="dcterms:W3CDTF">2005-07-16T12:33:31Z</dcterms:created>
  <dcterms:modified xsi:type="dcterms:W3CDTF">2023-01-27T16:54:49Z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