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codeName="ThisWorkbook"/>
  <mc:AlternateContent xmlns:mc="http://schemas.openxmlformats.org/markup-compatibility/2006">
    <mc:Choice Requires="x15">
      <x15ac:absPath xmlns:x15ac="http://schemas.microsoft.com/office/spreadsheetml/2010/11/ac" url="https://seai.sharepoint.com/programme/RTPolicy/NZEB/EPBD/EPBD Calculation methodologies/Domestic/Updates/Under investigation or development/HP 2020 changes 2024/"/>
    </mc:Choice>
  </mc:AlternateContent>
  <xr:revisionPtr revIDLastSave="0" documentId="8_{F7F447D7-16D1-4E45-BE8A-B3FBAA97DDFA}" xr6:coauthVersionLast="47" xr6:coauthVersionMax="47" xr10:uidLastSave="{00000000-0000-0000-0000-000000000000}"/>
  <workbookProtection workbookAlgorithmName="SHA-512" workbookHashValue="cN8muQs4CXKLWOnTrTNu2dlxA+/ANtWJsOAcQqB70rqD9kdoWNAo/tcQSTCtTSFH0cFgK/Pb/ct+bKx4MbtCKA==" workbookSaltValue="M01GV0OhmaQ4BMm7vrt0UA==" workbookSpinCount="100000" lockStructure="1"/>
  <bookViews>
    <workbookView minimized="1" xWindow="5535" yWindow="2280" windowWidth="21600" windowHeight="11385" tabRatio="684" firstSheet="4" activeTab="4" xr2:uid="{73A9DC2F-A848-4F6B-8526-68D16ACB91B4}"/>
  </bookViews>
  <sheets>
    <sheet name="Development notes" sheetId="76" state="hidden" r:id="rId1"/>
    <sheet name="Cov" sheetId="40" r:id="rId2"/>
    <sheet name="Code" sheetId="56" r:id="rId3"/>
    <sheet name="Proj" sheetId="60" r:id="rId4"/>
    <sheet name="DEAPEntries" sheetId="59" r:id="rId5"/>
    <sheet name="HP_1" sheetId="52" r:id="rId6"/>
    <sheet name="HP_2" sheetId="74" r:id="rId7"/>
    <sheet name="HP_3" sheetId="75" r:id="rId8"/>
    <sheet name="HeatingCalc_1" sheetId="53" r:id="rId9"/>
    <sheet name="HeatingCalc_2" sheetId="66" r:id="rId10"/>
    <sheet name="HeatingCalc_3" sheetId="67" r:id="rId11"/>
    <sheet name="DHWCalc_1" sheetId="54" r:id="rId12"/>
    <sheet name="DHWCalc_2" sheetId="68" r:id="rId13"/>
    <sheet name="DHWCalc_3" sheetId="69" r:id="rId14"/>
    <sheet name="SpaceStandardsID_1" sheetId="63" r:id="rId15"/>
    <sheet name="SpaceStandardsID_2" sheetId="70" r:id="rId16"/>
    <sheet name="SpaceStandardsID_3" sheetId="71" r:id="rId17"/>
    <sheet name="WaterStandardsID_1" sheetId="62" r:id="rId18"/>
    <sheet name="WaterStandardsID_2" sheetId="72" r:id="rId19"/>
    <sheet name="WaterStandardsID_3" sheetId="73" r:id="rId20"/>
    <sheet name="Meteorological data" sheetId="55" r:id="rId21"/>
  </sheets>
  <externalReferences>
    <externalReference r:id="rId22"/>
    <externalReference r:id="rId23"/>
    <externalReference r:id="rId24"/>
    <externalReference r:id="rId25"/>
  </externalReferences>
  <definedNames>
    <definedName name="_40" localSheetId="3">[1]Calculation!#REF!</definedName>
    <definedName name="_40" localSheetId="14">[1]Calculation!#REF!</definedName>
    <definedName name="_40" localSheetId="15">[1]Calculation!#REF!</definedName>
    <definedName name="_40" localSheetId="16">[1]Calculation!#REF!</definedName>
    <definedName name="_40" localSheetId="17">[1]Calculation!#REF!</definedName>
    <definedName name="_40" localSheetId="18">[1]Calculation!#REF!</definedName>
    <definedName name="_40" localSheetId="19">[1]Calculation!#REF!</definedName>
    <definedName name="_40">[1]Calculation!#REF!</definedName>
    <definedName name="_41" localSheetId="3">#REF!</definedName>
    <definedName name="_41" localSheetId="14">#REF!</definedName>
    <definedName name="_41" localSheetId="15">#REF!</definedName>
    <definedName name="_41" localSheetId="16">#REF!</definedName>
    <definedName name="_41" localSheetId="17">#REF!</definedName>
    <definedName name="_41" localSheetId="18">#REF!</definedName>
    <definedName name="_41" localSheetId="19">#REF!</definedName>
    <definedName name="_41">#REF!</definedName>
    <definedName name="_41a" localSheetId="3">#REF!</definedName>
    <definedName name="_41a" localSheetId="14">#REF!</definedName>
    <definedName name="_41a" localSheetId="15">#REF!</definedName>
    <definedName name="_41a" localSheetId="16">#REF!</definedName>
    <definedName name="_41a" localSheetId="17">#REF!</definedName>
    <definedName name="_41a" localSheetId="18">#REF!</definedName>
    <definedName name="_41a" localSheetId="19">#REF!</definedName>
    <definedName name="_41a">#REF!</definedName>
    <definedName name="_42" localSheetId="14">#REF!</definedName>
    <definedName name="_42" localSheetId="15">#REF!</definedName>
    <definedName name="_42" localSheetId="16">#REF!</definedName>
    <definedName name="_42" localSheetId="17">#REF!</definedName>
    <definedName name="_42" localSheetId="18">#REF!</definedName>
    <definedName name="_42" localSheetId="19">#REF!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 localSheetId="14">[1]Calculation!#REF!</definedName>
    <definedName name="_58" localSheetId="15">[1]Calculation!#REF!</definedName>
    <definedName name="_58" localSheetId="16">[1]Calculation!#REF!</definedName>
    <definedName name="_58" localSheetId="17">[1]Calculation!#REF!</definedName>
    <definedName name="_58" localSheetId="18">[1]Calculation!#REF!</definedName>
    <definedName name="_58" localSheetId="19">[1]Calculation!#REF!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11" hidden="1">DHWCalc_1!$L$1:$N$4</definedName>
    <definedName name="_xlnm._FilterDatabase" localSheetId="12" hidden="1">DHWCalc_2!$L$1:$N$4</definedName>
    <definedName name="_xlnm._FilterDatabase" localSheetId="13" hidden="1">DHWCalc_3!$L$1:$N$4</definedName>
    <definedName name="_xlnm._FilterDatabase" localSheetId="8" hidden="1">HeatingCalc_1!$A$1:$AD$56</definedName>
    <definedName name="_xlnm._FilterDatabase" localSheetId="9" hidden="1">HeatingCalc_2!$A$1:$AD$56</definedName>
    <definedName name="_xlnm._FilterDatabase" localSheetId="10" hidden="1">HeatingCalc_3!$A$1:$AD$56</definedName>
    <definedName name="_xlnm._FilterDatabase" localSheetId="20" hidden="1">'Meteorological data'!$J$1:$L$1</definedName>
    <definedName name="_xlnm._FilterDatabase" localSheetId="14" hidden="1">SpaceStandardsID_1!$A$2:$K$34</definedName>
    <definedName name="_xlnm._FilterDatabase" localSheetId="15" hidden="1">SpaceStandardsID_2!$A$2:$K$34</definedName>
    <definedName name="_xlnm._FilterDatabase" localSheetId="16" hidden="1">SpaceStandardsID_3!$A$2:$K$34</definedName>
    <definedName name="_xlnm._FilterDatabase" localSheetId="17" hidden="1">WaterStandardsID_1!$A$2:$J$20</definedName>
    <definedName name="_xlnm._FilterDatabase" localSheetId="18" hidden="1">WaterStandardsID_2!$A$2:$J$20</definedName>
    <definedName name="_xlnm._FilterDatabase" localSheetId="19" hidden="1">WaterStandardsID_3!$A$2:$J$20</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trlCat" localSheetId="3">[2]SH!$H$6</definedName>
    <definedName name="ctrlCat">#REF!</definedName>
    <definedName name="cylVol" localSheetId="3">[2]WH!$G$58</definedName>
    <definedName name="cylVol">#REF!</definedName>
    <definedName name="emissions" localSheetId="14">[1]Calculation!#REF!</definedName>
    <definedName name="emissions" localSheetId="15">[1]Calculation!#REF!</definedName>
    <definedName name="emissions" localSheetId="16">[1]Calculation!#REF!</definedName>
    <definedName name="emissions" localSheetId="17">[1]Calculation!#REF!</definedName>
    <definedName name="emissions" localSheetId="18">[1]Calculation!#REF!</definedName>
    <definedName name="emissions" localSheetId="19">[1]Calculation!#REF!</definedName>
    <definedName name="emissions">[1]Calculation!#REF!</definedName>
    <definedName name="fueldata" localSheetId="3">[2]Fuel!$C$4:$H$25</definedName>
    <definedName name="fueldata">#REF!</definedName>
    <definedName name="HeatUse" localSheetId="3">[2]HtUse!$F$57</definedName>
    <definedName name="HeatUse">#REF!</definedName>
    <definedName name="hlc" localSheetId="3">[2]Fab!$F$27</definedName>
    <definedName name="hlc">#REF!</definedName>
    <definedName name="hlcRef" localSheetId="3">[2]Fab!$P$27</definedName>
    <definedName name="hlcRef">#REF!</definedName>
    <definedName name="hlp" localSheetId="3">[2]Fab!$F$28</definedName>
    <definedName name="hlp">#REF!</definedName>
    <definedName name="HsLength" localSheetId="3">[2]HtUse!$E$89</definedName>
    <definedName name="HsLength">#REF!</definedName>
    <definedName name="INS" localSheetId="14">#REF!</definedName>
    <definedName name="INS" localSheetId="15">#REF!</definedName>
    <definedName name="INS" localSheetId="16">#REF!</definedName>
    <definedName name="INS" localSheetId="17">#REF!</definedName>
    <definedName name="INS" localSheetId="18">#REF!</definedName>
    <definedName name="INS" localSheetId="19">#REF!</definedName>
    <definedName name="INS">#REF!</definedName>
    <definedName name="Mains_Gas" localSheetId="14">#REF!</definedName>
    <definedName name="Mains_Gas" localSheetId="15">#REF!</definedName>
    <definedName name="Mains_Gas" localSheetId="16">#REF!</definedName>
    <definedName name="Mains_Gas" localSheetId="17">#REF!</definedName>
    <definedName name="Mains_Gas" localSheetId="18">#REF!</definedName>
    <definedName name="Mains_Gas" localSheetId="19">#REF!</definedName>
    <definedName name="Mains_Gas">#REF!</definedName>
    <definedName name="N" localSheetId="3">[2]WH!$F$2</definedName>
    <definedName name="N">#REF!</definedName>
    <definedName name="_xlnm.Print_Area" localSheetId="3">Proj!$A$1:$C$29</definedName>
    <definedName name="Project" localSheetId="14">[1]Calculation!#REF!</definedName>
    <definedName name="Project" localSheetId="15">[1]Calculation!#REF!</definedName>
    <definedName name="Project" localSheetId="16">[1]Calculation!#REF!</definedName>
    <definedName name="Project" localSheetId="17">[1]Calculation!#REF!</definedName>
    <definedName name="Project" localSheetId="18">[1]Calculation!#REF!</definedName>
    <definedName name="Project" localSheetId="19">[1]Calculation!#REF!</definedName>
    <definedName name="Project">[1]Calculation!#REF!</definedName>
    <definedName name="PUMP" localSheetId="14">#REF!</definedName>
    <definedName name="PUMP" localSheetId="15">#REF!</definedName>
    <definedName name="PUMP" localSheetId="16">#REF!</definedName>
    <definedName name="PUMP" localSheetId="17">#REF!</definedName>
    <definedName name="PUMP" localSheetId="18">#REF!</definedName>
    <definedName name="PUMP" localSheetId="19">#REF!</definedName>
    <definedName name="PUMP">#REF!</definedName>
    <definedName name="QH_gen_out">'[3]Climate Data'!$D$14</definedName>
    <definedName name="QW_gen_out">'[3]Climate Data'!$D$15</definedName>
    <definedName name="respons" localSheetId="3">[2]SH!$H$9</definedName>
    <definedName name="respons">#REF!</definedName>
    <definedName name="sd" localSheetId="14">#REF!</definedName>
    <definedName name="sd" localSheetId="15">#REF!</definedName>
    <definedName name="sd" localSheetId="16">#REF!</definedName>
    <definedName name="sd" localSheetId="17">#REF!</definedName>
    <definedName name="sd" localSheetId="18">#REF!</definedName>
    <definedName name="sd" localSheetId="19">#REF!</definedName>
    <definedName name="sd">#REF!</definedName>
    <definedName name="SEDBUK" localSheetId="14">[1]Calculation!#REF!</definedName>
    <definedName name="SEDBUK" localSheetId="15">[1]Calculation!#REF!</definedName>
    <definedName name="SEDBUK" localSheetId="16">[1]Calculation!#REF!</definedName>
    <definedName name="SEDBUK" localSheetId="17">[1]Calculation!#REF!</definedName>
    <definedName name="SEDBUK" localSheetId="18">[1]Calculation!#REF!</definedName>
    <definedName name="SEDBUK" localSheetId="19">[1]Calculation!#REF!</definedName>
    <definedName name="SEDBUK">[1]Calculation!#REF!</definedName>
    <definedName name="ShReqt" localSheetId="3">[2]SH!$K$37</definedName>
    <definedName name="ShReqt">#REF!</definedName>
    <definedName name="Tem" localSheetId="3">[2]HtUse!$H$21</definedName>
    <definedName name="Tem">#REF!</definedName>
    <definedName name="tfa" localSheetId="3">[2]Dim!$D$9</definedName>
    <definedName name="tfa">#REF!</definedName>
    <definedName name="TGDL" localSheetId="3">Proj!#REF!</definedName>
    <definedName name="TGDL">#REF!</definedName>
    <definedName name="Ti_seas">#REF!</definedName>
    <definedName name="Uf_seas">#REF!</definedName>
    <definedName name="ValidDelete">[4]Zone1!$L$1:$L$2</definedName>
    <definedName name="ValidOptions">[4]Zone1!#REF!</definedName>
    <definedName name="volume" localSheetId="3">[2]Dim!$F$10</definedName>
    <definedName name="volume">#REF!</definedName>
    <definedName name="WhGains" localSheetId="3">[2]WH!$F$103</definedName>
    <definedName name="WhGains">#REF!</definedName>
    <definedName name="WhReqt" localSheetId="3">[2]WH!$F$100</definedName>
    <definedName name="WhReqt">#REF!</definedName>
    <definedName name="WhReqtSup" localSheetId="3">[2]WH!$F$101</definedName>
    <definedName name="WhReqtSup">#REF!</definedName>
    <definedName name="θe_design">'[3]Climate Data'!$E$19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2" i="75" l="1"/>
  <c r="B221" i="75"/>
  <c r="A220" i="75"/>
  <c r="A219" i="75"/>
  <c r="A218" i="75"/>
  <c r="A217" i="75"/>
  <c r="A216" i="75"/>
  <c r="A215" i="75"/>
  <c r="A214" i="75"/>
  <c r="A213" i="75"/>
  <c r="A212" i="75"/>
  <c r="A211" i="75"/>
  <c r="A210" i="75"/>
  <c r="A209" i="75"/>
  <c r="A207" i="75"/>
  <c r="A206" i="75"/>
  <c r="A205" i="75"/>
  <c r="A204" i="75"/>
  <c r="A203" i="75"/>
  <c r="A202" i="75"/>
  <c r="A201" i="75"/>
  <c r="A200" i="75"/>
  <c r="A199" i="75"/>
  <c r="D198" i="75"/>
  <c r="C198" i="75"/>
  <c r="B198" i="75"/>
  <c r="D195" i="75"/>
  <c r="C195" i="75"/>
  <c r="B195" i="75"/>
  <c r="D194" i="75"/>
  <c r="E194" i="75" s="1"/>
  <c r="B5" i="75" s="1"/>
  <c r="C194" i="75"/>
  <c r="B194" i="75"/>
  <c r="D193" i="75"/>
  <c r="E193" i="75" s="1"/>
  <c r="G114" i="75" s="1"/>
  <c r="C193" i="75"/>
  <c r="B193" i="75"/>
  <c r="D192" i="75"/>
  <c r="E192" i="75" s="1"/>
  <c r="C192" i="75"/>
  <c r="B192" i="75"/>
  <c r="D191" i="75"/>
  <c r="E191" i="75" s="1"/>
  <c r="B6" i="75" s="1"/>
  <c r="C191" i="75"/>
  <c r="B191" i="75"/>
  <c r="D190" i="75"/>
  <c r="K190" i="75" s="1"/>
  <c r="C190" i="75"/>
  <c r="J190" i="75" s="1"/>
  <c r="B190" i="75"/>
  <c r="I190" i="75" s="1"/>
  <c r="D189" i="75"/>
  <c r="K189" i="75" s="1"/>
  <c r="M189" i="75" s="1"/>
  <c r="N10" i="75" s="1"/>
  <c r="C189" i="75"/>
  <c r="J189" i="75" s="1"/>
  <c r="B189" i="75"/>
  <c r="I189" i="75" s="1"/>
  <c r="G112" i="75"/>
  <c r="B109" i="75"/>
  <c r="B107" i="75"/>
  <c r="G89" i="75"/>
  <c r="G88" i="75"/>
  <c r="G87" i="75"/>
  <c r="B85" i="75"/>
  <c r="G84" i="75"/>
  <c r="B83" i="75"/>
  <c r="C82" i="75"/>
  <c r="A82" i="75"/>
  <c r="B76" i="75"/>
  <c r="F73" i="75"/>
  <c r="E73" i="75"/>
  <c r="D73" i="75"/>
  <c r="C73" i="75"/>
  <c r="B73" i="75"/>
  <c r="B72" i="75"/>
  <c r="A96" i="75" s="1"/>
  <c r="J68" i="75"/>
  <c r="I68" i="75"/>
  <c r="G57" i="75"/>
  <c r="F57" i="75"/>
  <c r="E57" i="75"/>
  <c r="D57" i="75"/>
  <c r="C57" i="75"/>
  <c r="A57" i="75"/>
  <c r="G56" i="75"/>
  <c r="F56" i="75"/>
  <c r="E56" i="75"/>
  <c r="D56" i="75"/>
  <c r="C56" i="75"/>
  <c r="A56" i="75"/>
  <c r="A53" i="75"/>
  <c r="G52" i="75"/>
  <c r="F52" i="75"/>
  <c r="E52" i="75"/>
  <c r="D52" i="75"/>
  <c r="C52" i="75"/>
  <c r="G49" i="75"/>
  <c r="F49" i="75"/>
  <c r="E49" i="75"/>
  <c r="D49" i="75"/>
  <c r="C49" i="75"/>
  <c r="A49" i="75"/>
  <c r="G48" i="75"/>
  <c r="F48" i="75"/>
  <c r="E48" i="75"/>
  <c r="D48" i="75"/>
  <c r="C48" i="75"/>
  <c r="G45" i="75"/>
  <c r="F45" i="75"/>
  <c r="E45" i="75"/>
  <c r="D45" i="75"/>
  <c r="C45" i="75"/>
  <c r="A45" i="75"/>
  <c r="G44" i="75"/>
  <c r="F44" i="75"/>
  <c r="E44" i="75"/>
  <c r="D44" i="75"/>
  <c r="C44" i="75"/>
  <c r="A44" i="75"/>
  <c r="B43" i="75"/>
  <c r="B42" i="75"/>
  <c r="B41" i="75"/>
  <c r="B40" i="75"/>
  <c r="A48" i="75" s="1"/>
  <c r="B39" i="75"/>
  <c r="I38" i="75"/>
  <c r="D38" i="75"/>
  <c r="B38" i="75"/>
  <c r="A38" i="75"/>
  <c r="B34" i="75"/>
  <c r="B31" i="75"/>
  <c r="B30" i="75"/>
  <c r="B24" i="75"/>
  <c r="E53" i="75" s="1"/>
  <c r="B19" i="75"/>
  <c r="G18" i="75"/>
  <c r="G8" i="75"/>
  <c r="F8" i="75"/>
  <c r="E8" i="75"/>
  <c r="G7" i="75"/>
  <c r="F7" i="75"/>
  <c r="E7" i="75"/>
  <c r="D7" i="75"/>
  <c r="B7" i="75"/>
  <c r="AE5" i="75"/>
  <c r="AE4" i="75"/>
  <c r="AE3" i="75"/>
  <c r="D3" i="75"/>
  <c r="B3" i="75"/>
  <c r="AE2" i="75"/>
  <c r="X2" i="75"/>
  <c r="G65" i="75" s="1"/>
  <c r="B222" i="74"/>
  <c r="B221" i="74"/>
  <c r="A220" i="74"/>
  <c r="A219" i="74"/>
  <c r="A218" i="74"/>
  <c r="A217" i="74"/>
  <c r="A216" i="74"/>
  <c r="A215" i="74"/>
  <c r="A214" i="74"/>
  <c r="A213" i="74"/>
  <c r="A212" i="74"/>
  <c r="A211" i="74"/>
  <c r="A210" i="74"/>
  <c r="A209" i="74"/>
  <c r="A207" i="74"/>
  <c r="A206" i="74"/>
  <c r="A205" i="74"/>
  <c r="A204" i="74"/>
  <c r="A203" i="74"/>
  <c r="A202" i="74"/>
  <c r="A201" i="74"/>
  <c r="A200" i="74"/>
  <c r="A199" i="74"/>
  <c r="D198" i="74"/>
  <c r="C198" i="74"/>
  <c r="B198" i="74"/>
  <c r="D195" i="74"/>
  <c r="C195" i="74"/>
  <c r="B195" i="74"/>
  <c r="D194" i="74"/>
  <c r="C194" i="74"/>
  <c r="E194" i="74" s="1"/>
  <c r="B5" i="74" s="1"/>
  <c r="B194" i="74"/>
  <c r="D193" i="74"/>
  <c r="C193" i="74"/>
  <c r="E193" i="74" s="1"/>
  <c r="G114" i="74" s="1"/>
  <c r="B193" i="74"/>
  <c r="D192" i="74"/>
  <c r="C192" i="74"/>
  <c r="E192" i="74" s="1"/>
  <c r="B192" i="74"/>
  <c r="D191" i="74"/>
  <c r="C191" i="74"/>
  <c r="E191" i="74" s="1"/>
  <c r="B6" i="74" s="1"/>
  <c r="B191" i="74"/>
  <c r="D190" i="74"/>
  <c r="K190" i="74" s="1"/>
  <c r="C190" i="74"/>
  <c r="J190" i="74" s="1"/>
  <c r="B190" i="74"/>
  <c r="D189" i="74"/>
  <c r="K189" i="74" s="1"/>
  <c r="C189" i="74"/>
  <c r="J189" i="74" s="1"/>
  <c r="B189" i="74"/>
  <c r="I189" i="74" s="1"/>
  <c r="G112" i="74"/>
  <c r="B109" i="74"/>
  <c r="B107" i="74"/>
  <c r="G89" i="74"/>
  <c r="G88" i="74"/>
  <c r="G87" i="74"/>
  <c r="B85" i="74"/>
  <c r="G84" i="74"/>
  <c r="B83" i="74"/>
  <c r="C82" i="74"/>
  <c r="A82" i="74"/>
  <c r="B76" i="74"/>
  <c r="F73" i="74"/>
  <c r="E73" i="74"/>
  <c r="D73" i="74"/>
  <c r="C73" i="74"/>
  <c r="B73" i="74"/>
  <c r="B72" i="74"/>
  <c r="A96" i="74" s="1"/>
  <c r="J68" i="74"/>
  <c r="I68" i="74"/>
  <c r="G65" i="74"/>
  <c r="G57" i="74"/>
  <c r="F57" i="74"/>
  <c r="E57" i="74"/>
  <c r="D57" i="74"/>
  <c r="C57" i="74"/>
  <c r="A57" i="74"/>
  <c r="G56" i="74"/>
  <c r="F56" i="74"/>
  <c r="E56" i="74"/>
  <c r="D56" i="74"/>
  <c r="C56" i="74"/>
  <c r="A53" i="74"/>
  <c r="G52" i="74"/>
  <c r="F52" i="74"/>
  <c r="E52" i="74"/>
  <c r="D52" i="74"/>
  <c r="C52" i="74"/>
  <c r="G49" i="74"/>
  <c r="F49" i="74"/>
  <c r="E49" i="74"/>
  <c r="D49" i="74"/>
  <c r="C49" i="74"/>
  <c r="A49" i="74"/>
  <c r="G48" i="74"/>
  <c r="F48" i="74"/>
  <c r="E48" i="74"/>
  <c r="D48" i="74"/>
  <c r="C48" i="74"/>
  <c r="A48" i="74"/>
  <c r="G45" i="74"/>
  <c r="F45" i="74"/>
  <c r="E45" i="74"/>
  <c r="D45" i="74"/>
  <c r="C45" i="74"/>
  <c r="A45" i="74"/>
  <c r="G44" i="74"/>
  <c r="F44" i="74"/>
  <c r="E44" i="74"/>
  <c r="D44" i="74"/>
  <c r="C44" i="74"/>
  <c r="B43" i="74"/>
  <c r="B42" i="74"/>
  <c r="B41" i="74"/>
  <c r="A56" i="74" s="1"/>
  <c r="B40" i="74"/>
  <c r="B39" i="74"/>
  <c r="A44" i="74" s="1"/>
  <c r="I38" i="74"/>
  <c r="D38" i="74"/>
  <c r="B38" i="74"/>
  <c r="A38" i="74"/>
  <c r="B34" i="74"/>
  <c r="B31" i="74"/>
  <c r="B30" i="74"/>
  <c r="B24" i="74"/>
  <c r="F53" i="74" s="1"/>
  <c r="B19" i="74"/>
  <c r="G18" i="74"/>
  <c r="G8" i="74"/>
  <c r="F8" i="74"/>
  <c r="E8" i="74"/>
  <c r="G7" i="74"/>
  <c r="F7" i="74"/>
  <c r="E7" i="74"/>
  <c r="D7" i="74"/>
  <c r="B7" i="74"/>
  <c r="AE5" i="74"/>
  <c r="AE4" i="74"/>
  <c r="AE3" i="74"/>
  <c r="D3" i="74"/>
  <c r="B3" i="74"/>
  <c r="AE2" i="74"/>
  <c r="X2" i="74"/>
  <c r="H216" i="75"/>
  <c r="H205" i="74"/>
  <c r="H204" i="74"/>
  <c r="H200" i="75"/>
  <c r="H209" i="75"/>
  <c r="H214" i="74"/>
  <c r="H212" i="74"/>
  <c r="H220" i="74"/>
  <c r="H205" i="75"/>
  <c r="H199" i="75"/>
  <c r="H228" i="74"/>
  <c r="H234" i="74"/>
  <c r="H225" i="75"/>
  <c r="H231" i="74"/>
  <c r="H214" i="75"/>
  <c r="H200" i="74"/>
  <c r="H213" i="75"/>
  <c r="H202" i="74"/>
  <c r="H235" i="74"/>
  <c r="H201" i="74"/>
  <c r="H211" i="75"/>
  <c r="H220" i="75"/>
  <c r="H219" i="74"/>
  <c r="H234" i="75"/>
  <c r="H206" i="74"/>
  <c r="H231" i="75"/>
  <c r="H203" i="74"/>
  <c r="H227" i="75"/>
  <c r="H224" i="75"/>
  <c r="H201" i="75"/>
  <c r="H217" i="75"/>
  <c r="H204" i="75"/>
  <c r="H221" i="75"/>
  <c r="H229" i="74"/>
  <c r="H199" i="74"/>
  <c r="H233" i="75"/>
  <c r="H226" i="75"/>
  <c r="H225" i="74"/>
  <c r="H206" i="75"/>
  <c r="H219" i="75"/>
  <c r="H222" i="75"/>
  <c r="H213" i="74"/>
  <c r="H217" i="74"/>
  <c r="H232" i="75"/>
  <c r="H211" i="74"/>
  <c r="H235" i="75"/>
  <c r="H215" i="74"/>
  <c r="H210" i="74"/>
  <c r="H207" i="75"/>
  <c r="H209" i="74"/>
  <c r="H210" i="75"/>
  <c r="H216" i="74"/>
  <c r="H226" i="74"/>
  <c r="H221" i="74"/>
  <c r="H224" i="74"/>
  <c r="H229" i="75"/>
  <c r="H203" i="75"/>
  <c r="H218" i="75"/>
  <c r="H227" i="74"/>
  <c r="H228" i="75"/>
  <c r="H232" i="74"/>
  <c r="H215" i="75"/>
  <c r="H222" i="74"/>
  <c r="H202" i="75"/>
  <c r="H207" i="74"/>
  <c r="H218" i="74"/>
  <c r="H233" i="74"/>
  <c r="H212" i="75"/>
  <c r="B4" i="74" l="1"/>
  <c r="B4" i="75"/>
  <c r="D24" i="74"/>
  <c r="AN1" i="74" s="1"/>
  <c r="G38" i="74"/>
  <c r="B36" i="74"/>
  <c r="B78" i="74"/>
  <c r="J41" i="75"/>
  <c r="B36" i="75"/>
  <c r="B78" i="75"/>
  <c r="J38" i="75"/>
  <c r="B26" i="74"/>
  <c r="D53" i="74"/>
  <c r="A58" i="74"/>
  <c r="D23" i="74"/>
  <c r="D25" i="74" s="1"/>
  <c r="A50" i="74"/>
  <c r="E195" i="75"/>
  <c r="E195" i="74"/>
  <c r="I194" i="75"/>
  <c r="E189" i="74"/>
  <c r="C12" i="74" s="1"/>
  <c r="E190" i="74"/>
  <c r="C65" i="74" s="1"/>
  <c r="I194" i="74"/>
  <c r="E189" i="75"/>
  <c r="C12" i="75" s="1"/>
  <c r="E190" i="75"/>
  <c r="C65" i="75" s="1"/>
  <c r="G232" i="75"/>
  <c r="F232" i="75"/>
  <c r="G222" i="75"/>
  <c r="F222" i="75"/>
  <c r="G200" i="75"/>
  <c r="F200" i="75"/>
  <c r="G227" i="75"/>
  <c r="F227" i="75"/>
  <c r="G202" i="75"/>
  <c r="F202" i="75"/>
  <c r="G204" i="75"/>
  <c r="F204" i="75"/>
  <c r="G206" i="75"/>
  <c r="F206" i="75"/>
  <c r="G209" i="75"/>
  <c r="F209" i="75"/>
  <c r="G211" i="75"/>
  <c r="F211" i="75"/>
  <c r="G213" i="75"/>
  <c r="F213" i="75"/>
  <c r="G215" i="75"/>
  <c r="F215" i="75"/>
  <c r="G217" i="75"/>
  <c r="F217" i="75"/>
  <c r="G219" i="75"/>
  <c r="F219" i="75"/>
  <c r="F224" i="75"/>
  <c r="G224" i="75"/>
  <c r="F228" i="75"/>
  <c r="G228" i="75"/>
  <c r="F233" i="75"/>
  <c r="G233" i="75"/>
  <c r="G199" i="75"/>
  <c r="F199" i="75"/>
  <c r="G201" i="75"/>
  <c r="F201" i="75"/>
  <c r="G203" i="75"/>
  <c r="F203" i="75"/>
  <c r="G205" i="75"/>
  <c r="F205" i="75"/>
  <c r="G207" i="75"/>
  <c r="F207" i="75"/>
  <c r="G210" i="75"/>
  <c r="F210" i="75"/>
  <c r="G212" i="75"/>
  <c r="F212" i="75"/>
  <c r="G214" i="75"/>
  <c r="F214" i="75"/>
  <c r="G216" i="75"/>
  <c r="F216" i="75"/>
  <c r="G218" i="75"/>
  <c r="F218" i="75"/>
  <c r="G220" i="75"/>
  <c r="F220" i="75"/>
  <c r="G225" i="75"/>
  <c r="F225" i="75"/>
  <c r="G229" i="75"/>
  <c r="F229" i="75"/>
  <c r="G234" i="75"/>
  <c r="F234" i="75"/>
  <c r="G221" i="75"/>
  <c r="F221" i="75"/>
  <c r="G226" i="75"/>
  <c r="F226" i="75"/>
  <c r="G231" i="75"/>
  <c r="F231" i="75"/>
  <c r="G235" i="75"/>
  <c r="F235" i="75"/>
  <c r="M190" i="75"/>
  <c r="N11" i="75" s="1"/>
  <c r="N12" i="75" s="1"/>
  <c r="C66" i="75" s="1"/>
  <c r="L190" i="75"/>
  <c r="A9" i="75"/>
  <c r="D24" i="75"/>
  <c r="AN1" i="75" s="1"/>
  <c r="G38" i="75"/>
  <c r="A50" i="75"/>
  <c r="A54" i="75"/>
  <c r="D53" i="75"/>
  <c r="G53" i="75"/>
  <c r="C53" i="75"/>
  <c r="B27" i="75"/>
  <c r="B28" i="75" s="1"/>
  <c r="H38" i="75"/>
  <c r="J40" i="75" s="1"/>
  <c r="J39" i="75"/>
  <c r="A52" i="75"/>
  <c r="F53" i="75"/>
  <c r="L189" i="75"/>
  <c r="C42" i="75"/>
  <c r="D42" i="75" s="1"/>
  <c r="AN2" i="75" s="1"/>
  <c r="A46" i="75"/>
  <c r="D23" i="75"/>
  <c r="D25" i="75" s="1"/>
  <c r="B26" i="75"/>
  <c r="A58" i="75"/>
  <c r="G232" i="74"/>
  <c r="F232" i="74"/>
  <c r="G204" i="74"/>
  <c r="F204" i="74"/>
  <c r="G213" i="74"/>
  <c r="F213" i="74"/>
  <c r="G222" i="74"/>
  <c r="F222" i="74"/>
  <c r="G202" i="74"/>
  <c r="F202" i="74"/>
  <c r="G211" i="74"/>
  <c r="F211" i="74"/>
  <c r="G206" i="74"/>
  <c r="F206" i="74"/>
  <c r="G215" i="74"/>
  <c r="F215" i="74"/>
  <c r="G227" i="74"/>
  <c r="F227" i="74"/>
  <c r="G200" i="74"/>
  <c r="F200" i="74"/>
  <c r="G209" i="74"/>
  <c r="F209" i="74"/>
  <c r="G217" i="74"/>
  <c r="F217" i="74"/>
  <c r="G219" i="74"/>
  <c r="F219" i="74"/>
  <c r="F224" i="74"/>
  <c r="G224" i="74"/>
  <c r="F228" i="74"/>
  <c r="G228" i="74"/>
  <c r="F233" i="74"/>
  <c r="G233" i="74"/>
  <c r="G199" i="74"/>
  <c r="F199" i="74"/>
  <c r="G201" i="74"/>
  <c r="F201" i="74"/>
  <c r="G203" i="74"/>
  <c r="F203" i="74"/>
  <c r="G205" i="74"/>
  <c r="F205" i="74"/>
  <c r="G207" i="74"/>
  <c r="F207" i="74"/>
  <c r="G210" i="74"/>
  <c r="F210" i="74"/>
  <c r="G212" i="74"/>
  <c r="F212" i="74"/>
  <c r="G214" i="74"/>
  <c r="F214" i="74"/>
  <c r="G216" i="74"/>
  <c r="F216" i="74"/>
  <c r="G218" i="74"/>
  <c r="F218" i="74"/>
  <c r="G220" i="74"/>
  <c r="F220" i="74"/>
  <c r="G225" i="74"/>
  <c r="F225" i="74"/>
  <c r="G229" i="74"/>
  <c r="F229" i="74"/>
  <c r="G234" i="74"/>
  <c r="F234" i="74"/>
  <c r="G221" i="74"/>
  <c r="F221" i="74"/>
  <c r="G226" i="74"/>
  <c r="F226" i="74"/>
  <c r="G231" i="74"/>
  <c r="F231" i="74"/>
  <c r="G235" i="74"/>
  <c r="F235" i="74"/>
  <c r="B17" i="74"/>
  <c r="B69" i="74"/>
  <c r="H38" i="74"/>
  <c r="J40" i="74" s="1"/>
  <c r="J39" i="74"/>
  <c r="A52" i="74"/>
  <c r="E53" i="74"/>
  <c r="G53" i="74"/>
  <c r="C53" i="74"/>
  <c r="B27" i="74"/>
  <c r="B28" i="74" s="1"/>
  <c r="J38" i="74"/>
  <c r="C42" i="74"/>
  <c r="D42" i="74" s="1"/>
  <c r="AN2" i="74" s="1"/>
  <c r="A46" i="74"/>
  <c r="A54" i="74"/>
  <c r="M189" i="74"/>
  <c r="N10" i="74" s="1"/>
  <c r="L189" i="74"/>
  <c r="I190" i="74"/>
  <c r="A59" i="73"/>
  <c r="A58" i="73"/>
  <c r="A57" i="73"/>
  <c r="B56" i="73"/>
  <c r="A56" i="73"/>
  <c r="B55" i="73"/>
  <c r="A55" i="73"/>
  <c r="B54" i="73"/>
  <c r="A54" i="73"/>
  <c r="B53" i="73"/>
  <c r="A53" i="73"/>
  <c r="B52" i="73"/>
  <c r="A52" i="73"/>
  <c r="D51" i="73"/>
  <c r="C51" i="73"/>
  <c r="B51" i="73"/>
  <c r="J15" i="73"/>
  <c r="J14" i="73"/>
  <c r="J13" i="73"/>
  <c r="J12" i="73"/>
  <c r="J11" i="73"/>
  <c r="J10" i="73"/>
  <c r="J9" i="73"/>
  <c r="J8" i="73"/>
  <c r="J7" i="73"/>
  <c r="J6" i="73"/>
  <c r="J5" i="73"/>
  <c r="J4" i="73"/>
  <c r="J3" i="73"/>
  <c r="A59" i="72"/>
  <c r="A58" i="72"/>
  <c r="A57" i="72"/>
  <c r="B56" i="72"/>
  <c r="A56" i="72"/>
  <c r="B55" i="72"/>
  <c r="A55" i="72"/>
  <c r="B54" i="72"/>
  <c r="A54" i="72"/>
  <c r="B53" i="72"/>
  <c r="A53" i="72"/>
  <c r="B52" i="72"/>
  <c r="A52" i="72"/>
  <c r="D51" i="72"/>
  <c r="C51" i="72"/>
  <c r="B51" i="72"/>
  <c r="J15" i="72"/>
  <c r="J14" i="72"/>
  <c r="J13" i="72"/>
  <c r="J12" i="72"/>
  <c r="J11" i="72"/>
  <c r="J10" i="72"/>
  <c r="J9" i="72"/>
  <c r="J8" i="72"/>
  <c r="J7" i="72"/>
  <c r="J6" i="72"/>
  <c r="J5" i="72"/>
  <c r="J4" i="72"/>
  <c r="J3" i="72"/>
  <c r="B60" i="71"/>
  <c r="A60" i="71"/>
  <c r="A59" i="71"/>
  <c r="A58" i="71"/>
  <c r="A57" i="71"/>
  <c r="B56" i="71"/>
  <c r="A56" i="71"/>
  <c r="B55" i="71"/>
  <c r="A55" i="71"/>
  <c r="B54" i="71"/>
  <c r="A54" i="71"/>
  <c r="B53" i="71"/>
  <c r="A53" i="71"/>
  <c r="B52" i="71"/>
  <c r="A52" i="71"/>
  <c r="D51" i="71"/>
  <c r="C51" i="71"/>
  <c r="B51" i="71"/>
  <c r="K30" i="71"/>
  <c r="K29" i="71"/>
  <c r="K28" i="71"/>
  <c r="K27" i="71"/>
  <c r="K26" i="71"/>
  <c r="K25" i="71"/>
  <c r="K24" i="71"/>
  <c r="K23" i="71"/>
  <c r="K22" i="71"/>
  <c r="K21" i="71"/>
  <c r="K20" i="71"/>
  <c r="K19" i="71"/>
  <c r="K18" i="71"/>
  <c r="K17" i="71"/>
  <c r="K16" i="71"/>
  <c r="K15" i="71"/>
  <c r="K14" i="71"/>
  <c r="K13" i="71"/>
  <c r="K12" i="71"/>
  <c r="K11" i="71"/>
  <c r="K10" i="71"/>
  <c r="K9" i="71"/>
  <c r="K8" i="71"/>
  <c r="K7" i="71"/>
  <c r="K6" i="71"/>
  <c r="K5" i="71"/>
  <c r="K4" i="71"/>
  <c r="K3" i="71"/>
  <c r="B60" i="70"/>
  <c r="A60" i="70"/>
  <c r="A59" i="70"/>
  <c r="A58" i="70"/>
  <c r="A57" i="70"/>
  <c r="B56" i="70"/>
  <c r="A56" i="70"/>
  <c r="B55" i="70"/>
  <c r="A55" i="70"/>
  <c r="B54" i="70"/>
  <c r="A54" i="70"/>
  <c r="B53" i="70"/>
  <c r="A53" i="70"/>
  <c r="B52" i="70"/>
  <c r="A52" i="70"/>
  <c r="D51" i="70"/>
  <c r="C51" i="70"/>
  <c r="B51" i="70"/>
  <c r="K30" i="70"/>
  <c r="K29" i="70"/>
  <c r="K28" i="70"/>
  <c r="K27" i="70"/>
  <c r="K26" i="70"/>
  <c r="K25" i="70"/>
  <c r="K24" i="70"/>
  <c r="K23" i="70"/>
  <c r="K22" i="70"/>
  <c r="K21" i="70"/>
  <c r="K20" i="70"/>
  <c r="K19" i="70"/>
  <c r="K18" i="70"/>
  <c r="K17" i="70"/>
  <c r="K16" i="70"/>
  <c r="K15" i="70"/>
  <c r="K14" i="70"/>
  <c r="K13" i="70"/>
  <c r="K12" i="70"/>
  <c r="K11" i="70"/>
  <c r="K10" i="70"/>
  <c r="K9" i="70"/>
  <c r="K8" i="70"/>
  <c r="K7" i="70"/>
  <c r="K6" i="70"/>
  <c r="K5" i="70"/>
  <c r="K4" i="70"/>
  <c r="K3" i="70"/>
  <c r="A185" i="69"/>
  <c r="A184" i="69"/>
  <c r="A183" i="69"/>
  <c r="A182" i="69"/>
  <c r="A181" i="69"/>
  <c r="A180" i="69"/>
  <c r="A179" i="69"/>
  <c r="B178" i="69"/>
  <c r="A178" i="69"/>
  <c r="B177" i="69"/>
  <c r="A177" i="69"/>
  <c r="A176" i="69"/>
  <c r="A175" i="69"/>
  <c r="A174" i="69"/>
  <c r="B173" i="69"/>
  <c r="A173" i="69"/>
  <c r="A172" i="69"/>
  <c r="A171" i="69"/>
  <c r="B170" i="69"/>
  <c r="A170" i="69"/>
  <c r="A169" i="69"/>
  <c r="A168" i="69"/>
  <c r="B167" i="69"/>
  <c r="A167" i="69"/>
  <c r="B166" i="69"/>
  <c r="A166" i="69"/>
  <c r="B165" i="69"/>
  <c r="A165" i="69"/>
  <c r="B164" i="69"/>
  <c r="A164" i="69"/>
  <c r="A163" i="69"/>
  <c r="A162" i="69"/>
  <c r="B161" i="69"/>
  <c r="A161" i="69"/>
  <c r="B160" i="69"/>
  <c r="A160" i="69"/>
  <c r="A159" i="69"/>
  <c r="A158" i="69"/>
  <c r="B157" i="69"/>
  <c r="A157" i="69"/>
  <c r="A156" i="69"/>
  <c r="A155" i="69"/>
  <c r="A154" i="69"/>
  <c r="A153" i="69"/>
  <c r="B152" i="69"/>
  <c r="A152" i="69"/>
  <c r="B151" i="69"/>
  <c r="A151" i="69"/>
  <c r="B150" i="69"/>
  <c r="A150" i="69"/>
  <c r="B149" i="69"/>
  <c r="A149" i="69"/>
  <c r="B148" i="69"/>
  <c r="A148" i="69"/>
  <c r="B147" i="69"/>
  <c r="A147" i="69"/>
  <c r="B146" i="69"/>
  <c r="B145" i="69"/>
  <c r="A145" i="69"/>
  <c r="B144" i="69"/>
  <c r="A144" i="69"/>
  <c r="B143" i="69"/>
  <c r="A143" i="69"/>
  <c r="B142" i="69"/>
  <c r="A142" i="69"/>
  <c r="B141" i="69"/>
  <c r="A141" i="69"/>
  <c r="B140" i="69"/>
  <c r="A140" i="69"/>
  <c r="B139" i="69"/>
  <c r="A139" i="69"/>
  <c r="B138" i="69"/>
  <c r="A138" i="69"/>
  <c r="A137" i="69"/>
  <c r="B136" i="69"/>
  <c r="A136" i="69"/>
  <c r="A135" i="69"/>
  <c r="B134" i="69"/>
  <c r="B133" i="69"/>
  <c r="A133" i="69"/>
  <c r="A132" i="69"/>
  <c r="B131" i="69"/>
  <c r="A131" i="69"/>
  <c r="A130" i="69"/>
  <c r="B129" i="69"/>
  <c r="A129" i="69"/>
  <c r="B128" i="69"/>
  <c r="A128" i="69"/>
  <c r="A127" i="69"/>
  <c r="A126" i="69"/>
  <c r="B125" i="69"/>
  <c r="A125" i="69"/>
  <c r="B124" i="69"/>
  <c r="A124" i="69"/>
  <c r="A123" i="69"/>
  <c r="B122" i="69"/>
  <c r="A122" i="69"/>
  <c r="B121" i="69"/>
  <c r="A121" i="69"/>
  <c r="B120" i="69"/>
  <c r="A120" i="69"/>
  <c r="B119" i="69"/>
  <c r="A119" i="69"/>
  <c r="A118" i="69"/>
  <c r="B117" i="69"/>
  <c r="A117" i="69"/>
  <c r="A116" i="69"/>
  <c r="B115" i="69"/>
  <c r="A115" i="69"/>
  <c r="B114" i="69"/>
  <c r="A114" i="69"/>
  <c r="A113" i="69"/>
  <c r="A112" i="69"/>
  <c r="B111" i="69"/>
  <c r="A111" i="69"/>
  <c r="A110" i="69"/>
  <c r="A109" i="69"/>
  <c r="A108" i="69"/>
  <c r="B107" i="69"/>
  <c r="A107" i="69"/>
  <c r="A106" i="69"/>
  <c r="A105" i="69"/>
  <c r="B104" i="69"/>
  <c r="A104" i="69"/>
  <c r="A103" i="69"/>
  <c r="B102" i="69"/>
  <c r="A102" i="69"/>
  <c r="B101" i="69"/>
  <c r="A101" i="69"/>
  <c r="B100" i="69"/>
  <c r="A100" i="69"/>
  <c r="B99" i="69"/>
  <c r="A99" i="69"/>
  <c r="B98" i="69"/>
  <c r="A98" i="69"/>
  <c r="B97" i="69"/>
  <c r="A97" i="69"/>
  <c r="A96" i="69"/>
  <c r="A95" i="69"/>
  <c r="A94" i="69"/>
  <c r="A93" i="69"/>
  <c r="A92" i="69"/>
  <c r="A91" i="69"/>
  <c r="D90" i="69"/>
  <c r="C90" i="69"/>
  <c r="B90" i="69"/>
  <c r="T12" i="69"/>
  <c r="T11" i="69"/>
  <c r="T10" i="69"/>
  <c r="T9" i="69"/>
  <c r="T8" i="69"/>
  <c r="T7" i="69"/>
  <c r="A185" i="68"/>
  <c r="A184" i="68"/>
  <c r="A183" i="68"/>
  <c r="A182" i="68"/>
  <c r="A181" i="68"/>
  <c r="A180" i="68"/>
  <c r="A179" i="68"/>
  <c r="B178" i="68"/>
  <c r="A178" i="68"/>
  <c r="B177" i="68"/>
  <c r="A177" i="68"/>
  <c r="A176" i="68"/>
  <c r="A175" i="68"/>
  <c r="A174" i="68"/>
  <c r="B173" i="68"/>
  <c r="A173" i="68"/>
  <c r="A172" i="68"/>
  <c r="A171" i="68"/>
  <c r="B170" i="68"/>
  <c r="A170" i="68"/>
  <c r="A169" i="68"/>
  <c r="A168" i="68"/>
  <c r="B167" i="68"/>
  <c r="A167" i="68"/>
  <c r="B166" i="68"/>
  <c r="A166" i="68"/>
  <c r="B165" i="68"/>
  <c r="A165" i="68"/>
  <c r="B164" i="68"/>
  <c r="A164" i="68"/>
  <c r="A163" i="68"/>
  <c r="A162" i="68"/>
  <c r="B161" i="68"/>
  <c r="A161" i="68"/>
  <c r="B160" i="68"/>
  <c r="A160" i="68"/>
  <c r="A159" i="68"/>
  <c r="A158" i="68"/>
  <c r="B157" i="68"/>
  <c r="A157" i="68"/>
  <c r="A156" i="68"/>
  <c r="A155" i="68"/>
  <c r="A154" i="68"/>
  <c r="A153" i="68"/>
  <c r="B152" i="68"/>
  <c r="A152" i="68"/>
  <c r="B151" i="68"/>
  <c r="A151" i="68"/>
  <c r="B150" i="68"/>
  <c r="A150" i="68"/>
  <c r="B149" i="68"/>
  <c r="A149" i="68"/>
  <c r="B148" i="68"/>
  <c r="A148" i="68"/>
  <c r="B147" i="68"/>
  <c r="A147" i="68"/>
  <c r="B146" i="68"/>
  <c r="B145" i="68"/>
  <c r="A145" i="68"/>
  <c r="B144" i="68"/>
  <c r="A144" i="68"/>
  <c r="B143" i="68"/>
  <c r="A143" i="68"/>
  <c r="B142" i="68"/>
  <c r="A142" i="68"/>
  <c r="B141" i="68"/>
  <c r="A141" i="68"/>
  <c r="B140" i="68"/>
  <c r="A140" i="68"/>
  <c r="B139" i="68"/>
  <c r="A139" i="68"/>
  <c r="B138" i="68"/>
  <c r="A138" i="68"/>
  <c r="A137" i="68"/>
  <c r="B136" i="68"/>
  <c r="A136" i="68"/>
  <c r="A135" i="68"/>
  <c r="B134" i="68"/>
  <c r="B133" i="68"/>
  <c r="A133" i="68"/>
  <c r="A132" i="68"/>
  <c r="B131" i="68"/>
  <c r="A131" i="68"/>
  <c r="A130" i="68"/>
  <c r="B129" i="68"/>
  <c r="A129" i="68"/>
  <c r="B128" i="68"/>
  <c r="A128" i="68"/>
  <c r="A127" i="68"/>
  <c r="A126" i="68"/>
  <c r="B125" i="68"/>
  <c r="A125" i="68"/>
  <c r="B124" i="68"/>
  <c r="A124" i="68"/>
  <c r="A123" i="68"/>
  <c r="B122" i="68"/>
  <c r="A122" i="68"/>
  <c r="B121" i="68"/>
  <c r="A121" i="68"/>
  <c r="B120" i="68"/>
  <c r="A120" i="68"/>
  <c r="B119" i="68"/>
  <c r="A119" i="68"/>
  <c r="A118" i="68"/>
  <c r="B117" i="68"/>
  <c r="A117" i="68"/>
  <c r="A116" i="68"/>
  <c r="B115" i="68"/>
  <c r="A115" i="68"/>
  <c r="B114" i="68"/>
  <c r="A114" i="68"/>
  <c r="A113" i="68"/>
  <c r="A112" i="68"/>
  <c r="B111" i="68"/>
  <c r="A111" i="68"/>
  <c r="A110" i="68"/>
  <c r="A109" i="68"/>
  <c r="A108" i="68"/>
  <c r="B107" i="68"/>
  <c r="A107" i="68"/>
  <c r="A106" i="68"/>
  <c r="A105" i="68"/>
  <c r="B104" i="68"/>
  <c r="A104" i="68"/>
  <c r="A103" i="68"/>
  <c r="B102" i="68"/>
  <c r="A102" i="68"/>
  <c r="B101" i="68"/>
  <c r="A101" i="68"/>
  <c r="B100" i="68"/>
  <c r="A100" i="68"/>
  <c r="B99" i="68"/>
  <c r="A99" i="68"/>
  <c r="B98" i="68"/>
  <c r="A98" i="68"/>
  <c r="B97" i="68"/>
  <c r="A97" i="68"/>
  <c r="A96" i="68"/>
  <c r="A95" i="68"/>
  <c r="A94" i="68"/>
  <c r="A93" i="68"/>
  <c r="A92" i="68"/>
  <c r="A91" i="68"/>
  <c r="D90" i="68"/>
  <c r="C90" i="68"/>
  <c r="B90" i="68"/>
  <c r="T12" i="68"/>
  <c r="T11" i="68"/>
  <c r="T10" i="68"/>
  <c r="T9" i="68"/>
  <c r="T8" i="68"/>
  <c r="T7" i="68"/>
  <c r="L161" i="67"/>
  <c r="K161" i="67"/>
  <c r="J161" i="67"/>
  <c r="I161" i="67"/>
  <c r="H161" i="67"/>
  <c r="L160" i="67"/>
  <c r="K160" i="67"/>
  <c r="J160" i="67"/>
  <c r="I160" i="67"/>
  <c r="H160" i="67"/>
  <c r="L159" i="67"/>
  <c r="K159" i="67"/>
  <c r="J159" i="67"/>
  <c r="I159" i="67"/>
  <c r="H159" i="67"/>
  <c r="L158" i="67"/>
  <c r="K158" i="67"/>
  <c r="J158" i="67"/>
  <c r="I158" i="67"/>
  <c r="H158" i="67"/>
  <c r="L157" i="67"/>
  <c r="K157" i="67"/>
  <c r="J157" i="67"/>
  <c r="I157" i="67"/>
  <c r="H157" i="67"/>
  <c r="L156" i="67"/>
  <c r="K156" i="67"/>
  <c r="J156" i="67"/>
  <c r="I156" i="67"/>
  <c r="H156" i="67"/>
  <c r="L155" i="67"/>
  <c r="K155" i="67"/>
  <c r="J155" i="67"/>
  <c r="I155" i="67"/>
  <c r="H155" i="67"/>
  <c r="L154" i="67"/>
  <c r="K154" i="67"/>
  <c r="J154" i="67"/>
  <c r="I154" i="67"/>
  <c r="H154" i="67"/>
  <c r="L153" i="67"/>
  <c r="K153" i="67"/>
  <c r="J153" i="67"/>
  <c r="I153" i="67"/>
  <c r="H153" i="67"/>
  <c r="G153" i="67"/>
  <c r="F153" i="67"/>
  <c r="E153" i="67"/>
  <c r="D153" i="67"/>
  <c r="C153" i="67"/>
  <c r="B153" i="67"/>
  <c r="AG151" i="67"/>
  <c r="AB151" i="67"/>
  <c r="W151" i="67"/>
  <c r="S151" i="67"/>
  <c r="S153" i="67" s="1"/>
  <c r="Q151" i="67"/>
  <c r="P151" i="67"/>
  <c r="P153" i="67" s="1"/>
  <c r="O151" i="67"/>
  <c r="T151" i="67" s="1"/>
  <c r="T153" i="67" s="1"/>
  <c r="N151" i="67"/>
  <c r="N153" i="67" s="1"/>
  <c r="M151" i="67"/>
  <c r="A137" i="67"/>
  <c r="A136" i="67"/>
  <c r="A135" i="67"/>
  <c r="B134" i="67"/>
  <c r="A134" i="67"/>
  <c r="B133" i="67"/>
  <c r="A133" i="67"/>
  <c r="B132" i="67"/>
  <c r="A132" i="67"/>
  <c r="B130" i="67"/>
  <c r="A130" i="67"/>
  <c r="A140" i="67" s="1"/>
  <c r="B129" i="67"/>
  <c r="A129" i="67"/>
  <c r="B128" i="67"/>
  <c r="A128" i="67"/>
  <c r="B127" i="67"/>
  <c r="A127" i="67"/>
  <c r="B126" i="67"/>
  <c r="A126" i="67"/>
  <c r="B125" i="67"/>
  <c r="A125" i="67"/>
  <c r="B124" i="67"/>
  <c r="A124" i="67"/>
  <c r="B123" i="67"/>
  <c r="A123" i="67"/>
  <c r="B122" i="67"/>
  <c r="A122" i="67"/>
  <c r="B121" i="67"/>
  <c r="A121" i="67"/>
  <c r="B120" i="67"/>
  <c r="A120" i="67"/>
  <c r="B119" i="67"/>
  <c r="A119" i="67"/>
  <c r="A118" i="67"/>
  <c r="B117" i="67"/>
  <c r="A117" i="67"/>
  <c r="A116" i="67"/>
  <c r="B115" i="67"/>
  <c r="A115" i="67"/>
  <c r="B114" i="67"/>
  <c r="A114" i="67"/>
  <c r="A113" i="67"/>
  <c r="A112" i="67"/>
  <c r="B111" i="67"/>
  <c r="A111" i="67"/>
  <c r="A110" i="67"/>
  <c r="A109" i="67"/>
  <c r="A108" i="67"/>
  <c r="B107" i="67"/>
  <c r="A107" i="67"/>
  <c r="A106" i="67"/>
  <c r="A105" i="67"/>
  <c r="B104" i="67"/>
  <c r="A104" i="67"/>
  <c r="A103" i="67"/>
  <c r="B102" i="67"/>
  <c r="A102" i="67"/>
  <c r="B101" i="67"/>
  <c r="A101" i="67"/>
  <c r="B100" i="67"/>
  <c r="A100" i="67"/>
  <c r="B99" i="67"/>
  <c r="A99" i="67"/>
  <c r="B98" i="67"/>
  <c r="A98" i="67"/>
  <c r="B97" i="67"/>
  <c r="A97" i="67"/>
  <c r="A96" i="67"/>
  <c r="A95" i="67"/>
  <c r="A94" i="67"/>
  <c r="A93" i="67"/>
  <c r="A92" i="67"/>
  <c r="A91" i="67"/>
  <c r="D90" i="67"/>
  <c r="C90" i="67"/>
  <c r="B90" i="67"/>
  <c r="Q51" i="67"/>
  <c r="Q50" i="67"/>
  <c r="Q49" i="67"/>
  <c r="Q48" i="67"/>
  <c r="Q47" i="67"/>
  <c r="Q46" i="67"/>
  <c r="Q45" i="67"/>
  <c r="Q44" i="67"/>
  <c r="Q43" i="67"/>
  <c r="Q42" i="67"/>
  <c r="Q41" i="67"/>
  <c r="Q40" i="67"/>
  <c r="Q39" i="67"/>
  <c r="Q38" i="67"/>
  <c r="Q37" i="67"/>
  <c r="Q36" i="67"/>
  <c r="Q35" i="67"/>
  <c r="Q34" i="67"/>
  <c r="Q33" i="67"/>
  <c r="Q32" i="67"/>
  <c r="Q31" i="67"/>
  <c r="P31" i="67"/>
  <c r="Q30" i="67"/>
  <c r="P30" i="67"/>
  <c r="Q29" i="67"/>
  <c r="P29" i="67"/>
  <c r="Q28" i="67"/>
  <c r="P28" i="67"/>
  <c r="Q27" i="67"/>
  <c r="P27" i="67"/>
  <c r="Q26" i="67"/>
  <c r="P26" i="67"/>
  <c r="Q25" i="67"/>
  <c r="P25" i="67"/>
  <c r="Q24" i="67"/>
  <c r="P24" i="67"/>
  <c r="Q23" i="67"/>
  <c r="P23" i="67"/>
  <c r="Q22" i="67"/>
  <c r="P22" i="67"/>
  <c r="Q21" i="67"/>
  <c r="P21" i="67"/>
  <c r="Q20" i="67"/>
  <c r="P20" i="67"/>
  <c r="Q19" i="67"/>
  <c r="P19" i="67"/>
  <c r="Q18" i="67"/>
  <c r="P18" i="67"/>
  <c r="Q17" i="67"/>
  <c r="P17" i="67"/>
  <c r="Q16" i="67"/>
  <c r="P16" i="67"/>
  <c r="Q15" i="67"/>
  <c r="P15" i="67"/>
  <c r="Q14" i="67"/>
  <c r="P14" i="67"/>
  <c r="Q13" i="67"/>
  <c r="P13" i="67"/>
  <c r="Q12" i="67"/>
  <c r="P12" i="67"/>
  <c r="Q11" i="67"/>
  <c r="P11" i="67"/>
  <c r="Q10" i="67"/>
  <c r="P10" i="67"/>
  <c r="Q9" i="67"/>
  <c r="P9" i="67"/>
  <c r="G9" i="67"/>
  <c r="F9" i="67"/>
  <c r="E9" i="67"/>
  <c r="D9" i="67"/>
  <c r="C9" i="67"/>
  <c r="Q8" i="67"/>
  <c r="P8" i="67"/>
  <c r="Q7" i="67"/>
  <c r="P7" i="67"/>
  <c r="G7" i="67"/>
  <c r="F7" i="67"/>
  <c r="E7" i="67"/>
  <c r="D7" i="67"/>
  <c r="H7" i="67" s="1"/>
  <c r="C7" i="67"/>
  <c r="Q6" i="67"/>
  <c r="P6" i="67"/>
  <c r="Q5" i="67"/>
  <c r="P5" i="67"/>
  <c r="O5" i="67"/>
  <c r="O6" i="67" s="1"/>
  <c r="O7" i="67" s="1"/>
  <c r="O8" i="67" s="1"/>
  <c r="O9" i="67" s="1"/>
  <c r="O10" i="67" s="1"/>
  <c r="O11" i="67" s="1"/>
  <c r="O12" i="67" s="1"/>
  <c r="O13" i="67" s="1"/>
  <c r="O14" i="67" s="1"/>
  <c r="O15" i="67" s="1"/>
  <c r="O16" i="67" s="1"/>
  <c r="O17" i="67" s="1"/>
  <c r="O18" i="67" s="1"/>
  <c r="O19" i="67" s="1"/>
  <c r="F5" i="67"/>
  <c r="E5" i="67"/>
  <c r="D5" i="67"/>
  <c r="Q4" i="67"/>
  <c r="P4" i="67"/>
  <c r="G4" i="67"/>
  <c r="F4" i="67"/>
  <c r="E4" i="67"/>
  <c r="L161" i="66"/>
  <c r="K161" i="66"/>
  <c r="J161" i="66"/>
  <c r="I161" i="66"/>
  <c r="H161" i="66"/>
  <c r="L160" i="66"/>
  <c r="K160" i="66"/>
  <c r="J160" i="66"/>
  <c r="I160" i="66"/>
  <c r="H160" i="66"/>
  <c r="L159" i="66"/>
  <c r="K159" i="66"/>
  <c r="J159" i="66"/>
  <c r="I159" i="66"/>
  <c r="H159" i="66"/>
  <c r="L158" i="66"/>
  <c r="K158" i="66"/>
  <c r="J158" i="66"/>
  <c r="I158" i="66"/>
  <c r="H158" i="66"/>
  <c r="L157" i="66"/>
  <c r="K157" i="66"/>
  <c r="J157" i="66"/>
  <c r="I157" i="66"/>
  <c r="H157" i="66"/>
  <c r="L156" i="66"/>
  <c r="K156" i="66"/>
  <c r="J156" i="66"/>
  <c r="I156" i="66"/>
  <c r="H156" i="66"/>
  <c r="L155" i="66"/>
  <c r="K155" i="66"/>
  <c r="J155" i="66"/>
  <c r="I155" i="66"/>
  <c r="H155" i="66"/>
  <c r="L154" i="66"/>
  <c r="K154" i="66"/>
  <c r="J154" i="66"/>
  <c r="I154" i="66"/>
  <c r="H154" i="66"/>
  <c r="U153" i="66"/>
  <c r="O153" i="66"/>
  <c r="L153" i="66"/>
  <c r="K153" i="66"/>
  <c r="J153" i="66"/>
  <c r="I153" i="66"/>
  <c r="H153" i="66"/>
  <c r="G153" i="66"/>
  <c r="F153" i="66"/>
  <c r="E153" i="66"/>
  <c r="D153" i="66"/>
  <c r="C153" i="66"/>
  <c r="B153" i="66"/>
  <c r="AG151" i="66"/>
  <c r="AB151" i="66"/>
  <c r="W151" i="66"/>
  <c r="U151" i="66"/>
  <c r="R151" i="66"/>
  <c r="R153" i="66" s="1"/>
  <c r="Q151" i="66"/>
  <c r="V151" i="66" s="1"/>
  <c r="V153" i="66" s="1"/>
  <c r="P151" i="66"/>
  <c r="P153" i="66" s="1"/>
  <c r="O151" i="66"/>
  <c r="T151" i="66" s="1"/>
  <c r="T153" i="66" s="1"/>
  <c r="N151" i="66"/>
  <c r="M151" i="66"/>
  <c r="M153" i="66" s="1"/>
  <c r="A140" i="66"/>
  <c r="A137" i="66"/>
  <c r="A136" i="66"/>
  <c r="A135" i="66"/>
  <c r="B134" i="66"/>
  <c r="A134" i="66"/>
  <c r="B133" i="66"/>
  <c r="A133" i="66"/>
  <c r="B132" i="66"/>
  <c r="A132" i="66"/>
  <c r="B130" i="66"/>
  <c r="A130" i="66"/>
  <c r="B129" i="66"/>
  <c r="A129" i="66"/>
  <c r="B128" i="66"/>
  <c r="A128" i="66"/>
  <c r="B127" i="66"/>
  <c r="A127" i="66"/>
  <c r="B126" i="66"/>
  <c r="A126" i="66"/>
  <c r="B125" i="66"/>
  <c r="A125" i="66"/>
  <c r="B124" i="66"/>
  <c r="A124" i="66"/>
  <c r="B123" i="66"/>
  <c r="A123" i="66"/>
  <c r="B122" i="66"/>
  <c r="A122" i="66"/>
  <c r="B121" i="66"/>
  <c r="A121" i="66"/>
  <c r="B120" i="66"/>
  <c r="A120" i="66"/>
  <c r="B119" i="66"/>
  <c r="A119" i="66"/>
  <c r="A118" i="66"/>
  <c r="B117" i="66"/>
  <c r="A117" i="66"/>
  <c r="A116" i="66"/>
  <c r="B115" i="66"/>
  <c r="A115" i="66"/>
  <c r="B114" i="66"/>
  <c r="A114" i="66"/>
  <c r="A113" i="66"/>
  <c r="A112" i="66"/>
  <c r="B111" i="66"/>
  <c r="A111" i="66"/>
  <c r="A110" i="66"/>
  <c r="A109" i="66"/>
  <c r="A108" i="66"/>
  <c r="B107" i="66"/>
  <c r="A107" i="66"/>
  <c r="A106" i="66"/>
  <c r="A105" i="66"/>
  <c r="B104" i="66"/>
  <c r="A104" i="66"/>
  <c r="A103" i="66"/>
  <c r="B102" i="66"/>
  <c r="A102" i="66"/>
  <c r="B101" i="66"/>
  <c r="A101" i="66"/>
  <c r="B100" i="66"/>
  <c r="A100" i="66"/>
  <c r="B99" i="66"/>
  <c r="A99" i="66"/>
  <c r="B98" i="66"/>
  <c r="A98" i="66"/>
  <c r="B97" i="66"/>
  <c r="A97" i="66"/>
  <c r="A96" i="66"/>
  <c r="A95" i="66"/>
  <c r="A94" i="66"/>
  <c r="A93" i="66"/>
  <c r="A92" i="66"/>
  <c r="A91" i="66"/>
  <c r="D90" i="66"/>
  <c r="C90" i="66"/>
  <c r="B90" i="66"/>
  <c r="Q51" i="66"/>
  <c r="Q50" i="66"/>
  <c r="Q49" i="66"/>
  <c r="Q48" i="66"/>
  <c r="Q47" i="66"/>
  <c r="Q46" i="66"/>
  <c r="Q45" i="66"/>
  <c r="Q44" i="66"/>
  <c r="Q43" i="66"/>
  <c r="Q42" i="66"/>
  <c r="Q41" i="66"/>
  <c r="Q40" i="66"/>
  <c r="Q39" i="66"/>
  <c r="Q38" i="66"/>
  <c r="Q37" i="66"/>
  <c r="Q36" i="66"/>
  <c r="Q35" i="66"/>
  <c r="Q34" i="66"/>
  <c r="Q33" i="66"/>
  <c r="Q32" i="66"/>
  <c r="Q31" i="66"/>
  <c r="P31" i="66"/>
  <c r="Q30" i="66"/>
  <c r="P30" i="66"/>
  <c r="Q29" i="66"/>
  <c r="P29" i="66"/>
  <c r="Q28" i="66"/>
  <c r="P28" i="66"/>
  <c r="Q27" i="66"/>
  <c r="P27" i="66"/>
  <c r="Q26" i="66"/>
  <c r="P26" i="66"/>
  <c r="Q25" i="66"/>
  <c r="P25" i="66"/>
  <c r="Q24" i="66"/>
  <c r="P24" i="66"/>
  <c r="Q23" i="66"/>
  <c r="P23" i="66"/>
  <c r="Q22" i="66"/>
  <c r="P22" i="66"/>
  <c r="Q21" i="66"/>
  <c r="P21" i="66"/>
  <c r="Q20" i="66"/>
  <c r="P20" i="66"/>
  <c r="Q19" i="66"/>
  <c r="P19" i="66"/>
  <c r="Q18" i="66"/>
  <c r="P18" i="66"/>
  <c r="Q17" i="66"/>
  <c r="P17" i="66"/>
  <c r="Q16" i="66"/>
  <c r="P16" i="66"/>
  <c r="Q15" i="66"/>
  <c r="P15" i="66"/>
  <c r="Q14" i="66"/>
  <c r="P14" i="66"/>
  <c r="Q13" i="66"/>
  <c r="P13" i="66"/>
  <c r="Q12" i="66"/>
  <c r="P12" i="66"/>
  <c r="Q11" i="66"/>
  <c r="P11" i="66"/>
  <c r="Q10" i="66"/>
  <c r="P10" i="66"/>
  <c r="Q9" i="66"/>
  <c r="P9" i="66"/>
  <c r="G9" i="66"/>
  <c r="F9" i="66"/>
  <c r="E9" i="66"/>
  <c r="D9" i="66"/>
  <c r="C9" i="66"/>
  <c r="Q8" i="66"/>
  <c r="P8" i="66"/>
  <c r="Q7" i="66"/>
  <c r="P7" i="66"/>
  <c r="G7" i="66"/>
  <c r="F7" i="66"/>
  <c r="E7" i="66"/>
  <c r="D7" i="66"/>
  <c r="C7" i="66"/>
  <c r="Q6" i="66"/>
  <c r="P6" i="66"/>
  <c r="Q5" i="66"/>
  <c r="P5" i="66"/>
  <c r="O5" i="66"/>
  <c r="O6" i="66" s="1"/>
  <c r="F5" i="66"/>
  <c r="E5" i="66"/>
  <c r="D5" i="66"/>
  <c r="Q4" i="66"/>
  <c r="P4" i="66"/>
  <c r="G4" i="66"/>
  <c r="F4" i="66"/>
  <c r="E4" i="66"/>
  <c r="J41" i="74" l="1"/>
  <c r="G42" i="75"/>
  <c r="G42" i="74"/>
  <c r="A62" i="75"/>
  <c r="A9" i="74"/>
  <c r="L190" i="74"/>
  <c r="M190" i="74"/>
  <c r="N11" i="74" s="1"/>
  <c r="O20" i="67"/>
  <c r="O21" i="67" s="1"/>
  <c r="O22" i="67" s="1"/>
  <c r="O23" i="67" s="1"/>
  <c r="O24" i="67" s="1"/>
  <c r="O25" i="67" s="1"/>
  <c r="O26" i="67" s="1"/>
  <c r="O27" i="67" s="1"/>
  <c r="O28" i="67" s="1"/>
  <c r="O29" i="67" s="1"/>
  <c r="O30" i="67" s="1"/>
  <c r="O31" i="67" s="1"/>
  <c r="O32" i="67" s="1"/>
  <c r="O33" i="67" s="1"/>
  <c r="O34" i="67" s="1"/>
  <c r="O35" i="67" s="1"/>
  <c r="O36" i="67" s="1"/>
  <c r="O37" i="67" s="1"/>
  <c r="O38" i="67" s="1"/>
  <c r="O39" i="67" s="1"/>
  <c r="O40" i="67" s="1"/>
  <c r="O41" i="67" s="1"/>
  <c r="O42" i="67" s="1"/>
  <c r="O43" i="67" s="1"/>
  <c r="O44" i="67" s="1"/>
  <c r="O45" i="67" s="1"/>
  <c r="O46" i="67" s="1"/>
  <c r="O47" i="67" s="1"/>
  <c r="O48" i="67" s="1"/>
  <c r="O49" i="67" s="1"/>
  <c r="O50" i="67" s="1"/>
  <c r="O51" i="67" s="1"/>
  <c r="H9" i="67"/>
  <c r="M153" i="67"/>
  <c r="R151" i="67"/>
  <c r="R153" i="67" s="1"/>
  <c r="V151" i="67"/>
  <c r="V153" i="67" s="1"/>
  <c r="Q153" i="67"/>
  <c r="A139" i="67"/>
  <c r="A138" i="67"/>
  <c r="O153" i="67"/>
  <c r="U151" i="67"/>
  <c r="U153" i="67" s="1"/>
  <c r="O7" i="66"/>
  <c r="H9" i="66"/>
  <c r="H7" i="66"/>
  <c r="A139" i="66"/>
  <c r="A138" i="66"/>
  <c r="N153" i="66"/>
  <c r="S151" i="66"/>
  <c r="S153" i="66" s="1"/>
  <c r="Q153" i="66"/>
  <c r="G18" i="52"/>
  <c r="G84" i="52"/>
  <c r="B60" i="63"/>
  <c r="A60" i="63"/>
  <c r="G89" i="52"/>
  <c r="G88" i="52"/>
  <c r="G87" i="52"/>
  <c r="I37" i="59"/>
  <c r="A62" i="74" l="1"/>
  <c r="N12" i="74"/>
  <c r="C66" i="74" s="1"/>
  <c r="O8" i="66"/>
  <c r="E60" i="63"/>
  <c r="O9" i="66" l="1"/>
  <c r="B66" i="59"/>
  <c r="E19" i="59"/>
  <c r="O10" i="66" l="1"/>
  <c r="G52" i="52"/>
  <c r="F52" i="52"/>
  <c r="E52" i="52"/>
  <c r="D52" i="52"/>
  <c r="B63" i="59"/>
  <c r="B62" i="59"/>
  <c r="B56" i="59"/>
  <c r="O11" i="66" l="1"/>
  <c r="O12" i="66" l="1"/>
  <c r="O13" i="66" l="1"/>
  <c r="O14" i="66" l="1"/>
  <c r="J161" i="53"/>
  <c r="I161" i="53"/>
  <c r="H161" i="53"/>
  <c r="H158" i="53"/>
  <c r="H154" i="53"/>
  <c r="A136" i="53"/>
  <c r="A135" i="53"/>
  <c r="B134" i="53"/>
  <c r="A134" i="53"/>
  <c r="B133" i="53"/>
  <c r="A133" i="53"/>
  <c r="B132" i="53"/>
  <c r="A132" i="53"/>
  <c r="B130" i="53"/>
  <c r="B129" i="53"/>
  <c r="B128" i="53"/>
  <c r="B127" i="53"/>
  <c r="A126" i="53"/>
  <c r="A125" i="53"/>
  <c r="A124" i="53"/>
  <c r="A123" i="53"/>
  <c r="B122" i="53"/>
  <c r="A122" i="53"/>
  <c r="B121" i="53"/>
  <c r="A121" i="53"/>
  <c r="B120" i="53"/>
  <c r="A120" i="53"/>
  <c r="B119" i="53"/>
  <c r="A119" i="53"/>
  <c r="A118" i="53"/>
  <c r="B117" i="53"/>
  <c r="A117" i="53"/>
  <c r="A116" i="53"/>
  <c r="B115" i="53"/>
  <c r="A115" i="53"/>
  <c r="B114" i="53"/>
  <c r="A114" i="53"/>
  <c r="A113" i="53"/>
  <c r="A112" i="53"/>
  <c r="B111" i="53"/>
  <c r="A111" i="53"/>
  <c r="A110" i="53"/>
  <c r="A109" i="53"/>
  <c r="A108" i="53"/>
  <c r="B107" i="53"/>
  <c r="A107" i="53"/>
  <c r="A106" i="53"/>
  <c r="A105" i="53"/>
  <c r="B104" i="53"/>
  <c r="A104" i="53"/>
  <c r="A103" i="53"/>
  <c r="B102" i="53"/>
  <c r="A102" i="53"/>
  <c r="B101" i="53"/>
  <c r="A101" i="53"/>
  <c r="B100" i="53"/>
  <c r="A100" i="53"/>
  <c r="B99" i="53"/>
  <c r="A99" i="53"/>
  <c r="B98" i="53"/>
  <c r="A98" i="53"/>
  <c r="B97" i="53"/>
  <c r="A97" i="53"/>
  <c r="A96" i="53"/>
  <c r="A95" i="53"/>
  <c r="A94" i="53"/>
  <c r="A93" i="53"/>
  <c r="A92" i="53"/>
  <c r="A91" i="53"/>
  <c r="A207" i="52"/>
  <c r="A206" i="52"/>
  <c r="A205" i="52"/>
  <c r="A204" i="52"/>
  <c r="A203" i="52"/>
  <c r="A202" i="52"/>
  <c r="A201" i="52"/>
  <c r="A200" i="52"/>
  <c r="A199" i="52"/>
  <c r="A218" i="52"/>
  <c r="A217" i="52"/>
  <c r="A213" i="52"/>
  <c r="B222" i="52"/>
  <c r="B221" i="52"/>
  <c r="A220" i="52"/>
  <c r="A219" i="52"/>
  <c r="H120" i="68"/>
  <c r="H138" i="66"/>
  <c r="H145" i="69"/>
  <c r="H111" i="67"/>
  <c r="AA157" i="67"/>
  <c r="Z160" i="67"/>
  <c r="H97" i="67"/>
  <c r="H120" i="66"/>
  <c r="H107" i="68"/>
  <c r="H143" i="67"/>
  <c r="H170" i="69"/>
  <c r="H112" i="67"/>
  <c r="H213" i="52"/>
  <c r="Y156" i="66"/>
  <c r="H123" i="67"/>
  <c r="H113" i="66"/>
  <c r="AA160" i="66"/>
  <c r="H160" i="68"/>
  <c r="X157" i="66"/>
  <c r="H60" i="71"/>
  <c r="H150" i="66"/>
  <c r="H115" i="69"/>
  <c r="H172" i="69"/>
  <c r="H100" i="67"/>
  <c r="H174" i="68"/>
  <c r="H142" i="66"/>
  <c r="X158" i="67"/>
  <c r="H94" i="68"/>
  <c r="H126" i="68"/>
  <c r="H97" i="69"/>
  <c r="H103" i="68"/>
  <c r="H132" i="67"/>
  <c r="H109" i="66"/>
  <c r="H145" i="68"/>
  <c r="W161" i="66"/>
  <c r="X156" i="67"/>
  <c r="H110" i="66"/>
  <c r="H228" i="52"/>
  <c r="Y155" i="66"/>
  <c r="W157" i="66"/>
  <c r="H229" i="52"/>
  <c r="W155" i="66"/>
  <c r="H110" i="67"/>
  <c r="H171" i="69"/>
  <c r="AA161" i="67"/>
  <c r="H174" i="69"/>
  <c r="H105" i="66"/>
  <c r="H132" i="69"/>
  <c r="H60" i="72"/>
  <c r="H185" i="68"/>
  <c r="H100" i="69"/>
  <c r="H101" i="68"/>
  <c r="H52" i="73"/>
  <c r="H142" i="67"/>
  <c r="H164" i="69"/>
  <c r="H94" i="69"/>
  <c r="X155" i="66"/>
  <c r="H148" i="68"/>
  <c r="H130" i="67"/>
  <c r="H153" i="69"/>
  <c r="H93" i="69"/>
  <c r="H97" i="68"/>
  <c r="H225" i="52"/>
  <c r="H164" i="68"/>
  <c r="H103" i="67"/>
  <c r="Z161" i="67"/>
  <c r="Y154" i="66"/>
  <c r="H121" i="66"/>
  <c r="X159" i="67"/>
  <c r="H57" i="72"/>
  <c r="H109" i="67"/>
  <c r="H155" i="68"/>
  <c r="H92" i="68"/>
  <c r="D222" i="75" a="1"/>
  <c r="H165" i="68"/>
  <c r="Z160" i="66"/>
  <c r="H139" i="67"/>
  <c r="H227" i="52"/>
  <c r="H91" i="68"/>
  <c r="H104" i="69"/>
  <c r="H52" i="71"/>
  <c r="H185" i="69"/>
  <c r="Z156" i="66"/>
  <c r="H103" i="66"/>
  <c r="H184" i="69"/>
  <c r="H163" i="69"/>
  <c r="H147" i="69"/>
  <c r="Y155" i="67"/>
  <c r="H60" i="70"/>
  <c r="H169" i="68"/>
  <c r="H99" i="68"/>
  <c r="H159" i="68"/>
  <c r="H52" i="70"/>
  <c r="Y160" i="66"/>
  <c r="H120" i="69"/>
  <c r="H53" i="73"/>
  <c r="H141" i="68"/>
  <c r="X156" i="66"/>
  <c r="H96" i="66"/>
  <c r="H118" i="69"/>
  <c r="H128" i="68"/>
  <c r="H106" i="68"/>
  <c r="H226" i="52"/>
  <c r="Y154" i="67"/>
  <c r="H114" i="69"/>
  <c r="H144" i="69"/>
  <c r="H55" i="73"/>
  <c r="H161" i="69"/>
  <c r="H147" i="68"/>
  <c r="AA157" i="66"/>
  <c r="H59" i="71"/>
  <c r="H143" i="66"/>
  <c r="H125" i="67"/>
  <c r="H106" i="66"/>
  <c r="H146" i="68"/>
  <c r="W158" i="67"/>
  <c r="H129" i="69"/>
  <c r="H96" i="67"/>
  <c r="H131" i="69"/>
  <c r="H129" i="68"/>
  <c r="H54" i="70"/>
  <c r="H54" i="73"/>
  <c r="H178" i="68"/>
  <c r="H126" i="69"/>
  <c r="H98" i="66"/>
  <c r="X158" i="66"/>
  <c r="H172" i="68"/>
  <c r="H136" i="67"/>
  <c r="H155" i="69"/>
  <c r="H138" i="67"/>
  <c r="H139" i="66"/>
  <c r="H140" i="67"/>
  <c r="H157" i="68"/>
  <c r="H150" i="69"/>
  <c r="H53" i="70"/>
  <c r="H135" i="68"/>
  <c r="H156" i="69"/>
  <c r="H140" i="68"/>
  <c r="H123" i="68"/>
  <c r="H98" i="68"/>
  <c r="H134" i="67"/>
  <c r="X157" i="67"/>
  <c r="C222" i="75" a="1"/>
  <c r="H129" i="66"/>
  <c r="H106" i="67"/>
  <c r="H158" i="69"/>
  <c r="H157" i="69"/>
  <c r="H143" i="69"/>
  <c r="H184" i="68"/>
  <c r="H123" i="69"/>
  <c r="H119" i="67"/>
  <c r="H102" i="66"/>
  <c r="H102" i="68"/>
  <c r="H94" i="67"/>
  <c r="H145" i="66"/>
  <c r="H109" i="68"/>
  <c r="H235" i="52"/>
  <c r="H102" i="69"/>
  <c r="H122" i="66"/>
  <c r="H111" i="69"/>
  <c r="H156" i="68"/>
  <c r="Z159" i="66"/>
  <c r="H92" i="66"/>
  <c r="W160" i="67"/>
  <c r="H234" i="52"/>
  <c r="H232" i="52"/>
  <c r="H59" i="70"/>
  <c r="H94" i="66"/>
  <c r="H121" i="68"/>
  <c r="C221" i="74" a="1"/>
  <c r="H231" i="52"/>
  <c r="H105" i="67"/>
  <c r="H129" i="67"/>
  <c r="X160" i="67"/>
  <c r="Z157" i="67"/>
  <c r="Y161" i="67"/>
  <c r="H136" i="66"/>
  <c r="H144" i="68"/>
  <c r="H171" i="68"/>
  <c r="Y158" i="66"/>
  <c r="H107" i="66"/>
  <c r="H108" i="66"/>
  <c r="H122" i="67"/>
  <c r="H180" i="68"/>
  <c r="H134" i="69"/>
  <c r="H139" i="69"/>
  <c r="H175" i="69"/>
  <c r="H141" i="67"/>
  <c r="H113" i="69"/>
  <c r="H182" i="68"/>
  <c r="H154" i="69"/>
  <c r="AA155" i="66"/>
  <c r="H57" i="73"/>
  <c r="H104" i="68"/>
  <c r="H133" i="68"/>
  <c r="H62" i="59"/>
  <c r="H136" i="69"/>
  <c r="H132" i="68"/>
  <c r="H99" i="69"/>
  <c r="H176" i="69"/>
  <c r="H130" i="66"/>
  <c r="H107" i="67"/>
  <c r="H163" i="68"/>
  <c r="AA154" i="66"/>
  <c r="H95" i="67"/>
  <c r="H168" i="68"/>
  <c r="H135" i="66"/>
  <c r="H138" i="68"/>
  <c r="Y159" i="66"/>
  <c r="H97" i="66"/>
  <c r="H55" i="70"/>
  <c r="H178" i="69"/>
  <c r="H114" i="68"/>
  <c r="H133" i="67"/>
  <c r="H141" i="66"/>
  <c r="Y156" i="67"/>
  <c r="H100" i="68"/>
  <c r="H113" i="67"/>
  <c r="Z154" i="67"/>
  <c r="H125" i="66"/>
  <c r="H116" i="67"/>
  <c r="AA158" i="67"/>
  <c r="H165" i="69"/>
  <c r="H117" i="69"/>
  <c r="H153" i="68"/>
  <c r="H160" i="69"/>
  <c r="H132" i="66"/>
  <c r="H127" i="68"/>
  <c r="H112" i="68"/>
  <c r="H92" i="69"/>
  <c r="H140" i="66"/>
  <c r="Z158" i="66"/>
  <c r="H118" i="66"/>
  <c r="H121" i="67"/>
  <c r="H148" i="69"/>
  <c r="H173" i="68"/>
  <c r="H127" i="69"/>
  <c r="H135" i="69"/>
  <c r="H57" i="71"/>
  <c r="Y158" i="67"/>
  <c r="H166" i="68"/>
  <c r="D221" i="74" a="1"/>
  <c r="H233" i="52"/>
  <c r="H108" i="68"/>
  <c r="H124" i="67"/>
  <c r="H113" i="68"/>
  <c r="H95" i="69"/>
  <c r="H148" i="67"/>
  <c r="W160" i="66"/>
  <c r="H167" i="68"/>
  <c r="Z158" i="67"/>
  <c r="H176" i="68"/>
  <c r="Z161" i="66"/>
  <c r="W159" i="66"/>
  <c r="H146" i="69"/>
  <c r="H91" i="69"/>
  <c r="H149" i="68"/>
  <c r="H58" i="70"/>
  <c r="H136" i="68"/>
  <c r="H99" i="67"/>
  <c r="H93" i="66"/>
  <c r="AA154" i="67"/>
  <c r="H125" i="68"/>
  <c r="H159" i="69"/>
  <c r="H179" i="68"/>
  <c r="H117" i="67"/>
  <c r="H53" i="71"/>
  <c r="H59" i="73"/>
  <c r="H134" i="66"/>
  <c r="H56" i="71"/>
  <c r="AA160" i="67"/>
  <c r="H114" i="66"/>
  <c r="H107" i="69"/>
  <c r="H119" i="69"/>
  <c r="H95" i="68"/>
  <c r="H118" i="67"/>
  <c r="H58" i="72"/>
  <c r="H177" i="68"/>
  <c r="H128" i="66"/>
  <c r="X154" i="66"/>
  <c r="W154" i="67"/>
  <c r="H91" i="66"/>
  <c r="Y157" i="66"/>
  <c r="H102" i="67"/>
  <c r="H54" i="72"/>
  <c r="H109" i="69"/>
  <c r="H110" i="69"/>
  <c r="H150" i="68"/>
  <c r="H119" i="68"/>
  <c r="X161" i="67"/>
  <c r="D221" i="75" a="1"/>
  <c r="H104" i="67"/>
  <c r="H220" i="52"/>
  <c r="H151" i="69"/>
  <c r="H133" i="66"/>
  <c r="H152" i="69"/>
  <c r="H130" i="68"/>
  <c r="H54" i="71"/>
  <c r="X155" i="67"/>
  <c r="W156" i="67"/>
  <c r="H177" i="69"/>
  <c r="H149" i="66"/>
  <c r="H142" i="69"/>
  <c r="H93" i="68"/>
  <c r="H168" i="69"/>
  <c r="AA155" i="67"/>
  <c r="H123" i="66"/>
  <c r="H144" i="67"/>
  <c r="H180" i="69"/>
  <c r="H167" i="69"/>
  <c r="H140" i="69"/>
  <c r="H55" i="72"/>
  <c r="Y160" i="67"/>
  <c r="H105" i="69"/>
  <c r="H162" i="69"/>
  <c r="H58" i="73"/>
  <c r="H119" i="66"/>
  <c r="H137" i="68"/>
  <c r="X160" i="66"/>
  <c r="H125" i="69"/>
  <c r="H110" i="68"/>
  <c r="H219" i="52"/>
  <c r="H145" i="67"/>
  <c r="H137" i="67"/>
  <c r="H101" i="69"/>
  <c r="X154" i="67"/>
  <c r="H143" i="68"/>
  <c r="H111" i="66"/>
  <c r="H127" i="67"/>
  <c r="H130" i="69"/>
  <c r="H158" i="68"/>
  <c r="H96" i="68"/>
  <c r="H149" i="67"/>
  <c r="H179" i="69"/>
  <c r="H116" i="68"/>
  <c r="H126" i="67"/>
  <c r="H112" i="66"/>
  <c r="H181" i="68"/>
  <c r="H131" i="68"/>
  <c r="H141" i="69"/>
  <c r="W157" i="67"/>
  <c r="H127" i="66"/>
  <c r="H161" i="68"/>
  <c r="H106" i="69"/>
  <c r="H91" i="67"/>
  <c r="H169" i="69"/>
  <c r="W161" i="67"/>
  <c r="X161" i="66"/>
  <c r="H118" i="68"/>
  <c r="H146" i="66"/>
  <c r="W159" i="67"/>
  <c r="H137" i="66"/>
  <c r="H101" i="67"/>
  <c r="H173" i="69"/>
  <c r="H121" i="69"/>
  <c r="H96" i="69"/>
  <c r="H59" i="72"/>
  <c r="AA159" i="67"/>
  <c r="AA156" i="67"/>
  <c r="H133" i="69"/>
  <c r="H57" i="70"/>
  <c r="H116" i="66"/>
  <c r="C221" i="75" a="1"/>
  <c r="H63" i="59"/>
  <c r="H115" i="67"/>
  <c r="H170" i="68"/>
  <c r="H134" i="68"/>
  <c r="AA158" i="66"/>
  <c r="Y157" i="67"/>
  <c r="Z159" i="67"/>
  <c r="H222" i="52"/>
  <c r="H147" i="67"/>
  <c r="H152" i="68"/>
  <c r="H122" i="68"/>
  <c r="H60" i="73"/>
  <c r="H105" i="68"/>
  <c r="H104" i="66"/>
  <c r="H128" i="69"/>
  <c r="X159" i="66"/>
  <c r="H137" i="69"/>
  <c r="H139" i="68"/>
  <c r="H147" i="66"/>
  <c r="H221" i="52"/>
  <c r="H124" i="66"/>
  <c r="W155" i="67"/>
  <c r="H181" i="69"/>
  <c r="H60" i="63"/>
  <c r="H56" i="73"/>
  <c r="H115" i="66"/>
  <c r="H55" i="71"/>
  <c r="Z157" i="66"/>
  <c r="H166" i="69"/>
  <c r="H131" i="66"/>
  <c r="AA161" i="66"/>
  <c r="H93" i="67"/>
  <c r="H101" i="66"/>
  <c r="H151" i="68"/>
  <c r="H114" i="67"/>
  <c r="Z155" i="66"/>
  <c r="H183" i="68"/>
  <c r="H126" i="66"/>
  <c r="H142" i="68"/>
  <c r="H148" i="66"/>
  <c r="H112" i="69"/>
  <c r="AA156" i="66"/>
  <c r="W154" i="66"/>
  <c r="H98" i="67"/>
  <c r="H135" i="67"/>
  <c r="H128" i="67"/>
  <c r="H117" i="68"/>
  <c r="H162" i="68"/>
  <c r="H99" i="66"/>
  <c r="H53" i="72"/>
  <c r="H224" i="52"/>
  <c r="H92" i="67"/>
  <c r="Y161" i="66"/>
  <c r="H144" i="66"/>
  <c r="H100" i="66"/>
  <c r="H138" i="69"/>
  <c r="H98" i="69"/>
  <c r="H182" i="69"/>
  <c r="H116" i="69"/>
  <c r="H122" i="69"/>
  <c r="Z156" i="67"/>
  <c r="AA159" i="66"/>
  <c r="H217" i="52"/>
  <c r="H218" i="52"/>
  <c r="C222" i="74" a="1"/>
  <c r="H52" i="72"/>
  <c r="H146" i="67"/>
  <c r="W156" i="66"/>
  <c r="H103" i="69"/>
  <c r="H108" i="67"/>
  <c r="H150" i="67"/>
  <c r="H115" i="68"/>
  <c r="H117" i="66"/>
  <c r="Z155" i="67"/>
  <c r="H154" i="68"/>
  <c r="W158" i="66"/>
  <c r="H175" i="68"/>
  <c r="H111" i="68"/>
  <c r="H183" i="69"/>
  <c r="H108" i="69"/>
  <c r="H149" i="69"/>
  <c r="H56" i="70"/>
  <c r="H124" i="68"/>
  <c r="Z154" i="66"/>
  <c r="D222" i="74" a="1"/>
  <c r="Y159" i="67"/>
  <c r="H58" i="71"/>
  <c r="H120" i="67"/>
  <c r="H131" i="67"/>
  <c r="H124" i="69"/>
  <c r="H56" i="72"/>
  <c r="H95" i="66"/>
  <c r="AE154" i="66" l="1"/>
  <c r="AJ154" i="66"/>
  <c r="F131" i="69"/>
  <c r="G131" i="69"/>
  <c r="G152" i="68"/>
  <c r="F152" i="68"/>
  <c r="G163" i="69"/>
  <c r="F163" i="69"/>
  <c r="F141" i="66"/>
  <c r="G141" i="66"/>
  <c r="F140" i="66"/>
  <c r="G140" i="66"/>
  <c r="AH160" i="67"/>
  <c r="AC160" i="67"/>
  <c r="F165" i="69"/>
  <c r="G165" i="69"/>
  <c r="G107" i="69"/>
  <c r="F107" i="69"/>
  <c r="G116" i="67"/>
  <c r="F116" i="67"/>
  <c r="F97" i="69"/>
  <c r="G97" i="69"/>
  <c r="AE158" i="67"/>
  <c r="AJ158" i="67"/>
  <c r="G179" i="69"/>
  <c r="F179" i="69"/>
  <c r="F53" i="71"/>
  <c r="G53" i="71"/>
  <c r="G60" i="70"/>
  <c r="F60" i="70"/>
  <c r="G59" i="72"/>
  <c r="F59" i="72"/>
  <c r="G132" i="66"/>
  <c r="F132" i="66"/>
  <c r="G91" i="66"/>
  <c r="F91" i="66"/>
  <c r="F148" i="66"/>
  <c r="G148" i="66"/>
  <c r="AF158" i="67"/>
  <c r="AK158" i="67"/>
  <c r="F139" i="66"/>
  <c r="G139" i="66"/>
  <c r="G147" i="69"/>
  <c r="F147" i="69"/>
  <c r="AI155" i="66"/>
  <c r="AD155" i="66"/>
  <c r="G128" i="68"/>
  <c r="F128" i="68"/>
  <c r="AC154" i="66"/>
  <c r="AH154" i="66"/>
  <c r="AG157" i="67"/>
  <c r="AB157" i="67"/>
  <c r="AH156" i="67"/>
  <c r="AC156" i="67"/>
  <c r="G141" i="69"/>
  <c r="F141" i="69"/>
  <c r="G154" i="69"/>
  <c r="F154" i="69"/>
  <c r="G134" i="66"/>
  <c r="F134" i="66"/>
  <c r="F181" i="69"/>
  <c r="G181" i="69"/>
  <c r="F117" i="66"/>
  <c r="G117" i="66"/>
  <c r="F174" i="68"/>
  <c r="G174" i="68"/>
  <c r="AD159" i="67"/>
  <c r="AI159" i="67"/>
  <c r="G99" i="69"/>
  <c r="F99" i="69"/>
  <c r="F123" i="69"/>
  <c r="G123" i="69"/>
  <c r="G93" i="68"/>
  <c r="F93" i="68"/>
  <c r="F178" i="69"/>
  <c r="G178" i="69"/>
  <c r="F98" i="67"/>
  <c r="G98" i="67"/>
  <c r="F119" i="68"/>
  <c r="G119" i="68"/>
  <c r="F146" i="66"/>
  <c r="G146" i="66"/>
  <c r="AI154" i="66"/>
  <c r="AD154" i="66"/>
  <c r="F158" i="69"/>
  <c r="G158" i="69"/>
  <c r="G167" i="69"/>
  <c r="F167" i="69"/>
  <c r="G54" i="71"/>
  <c r="F54" i="71"/>
  <c r="G104" i="69"/>
  <c r="F104" i="69"/>
  <c r="G100" i="68"/>
  <c r="F100" i="68"/>
  <c r="F162" i="69"/>
  <c r="G162" i="69"/>
  <c r="I63" i="59"/>
  <c r="G63" i="59" s="1"/>
  <c r="F63" i="59"/>
  <c r="F94" i="69"/>
  <c r="G94" i="69"/>
  <c r="G118" i="68"/>
  <c r="F118" i="68"/>
  <c r="G115" i="68"/>
  <c r="F115" i="68"/>
  <c r="AF159" i="66"/>
  <c r="AK159" i="66"/>
  <c r="AC160" i="66"/>
  <c r="AH160" i="66"/>
  <c r="D222" i="75"/>
  <c r="E222" i="75" s="1"/>
  <c r="F156" i="68"/>
  <c r="G156" i="68"/>
  <c r="G58" i="72"/>
  <c r="F58" i="72"/>
  <c r="G60" i="63"/>
  <c r="F60" i="63"/>
  <c r="AF155" i="67"/>
  <c r="AK155" i="67"/>
  <c r="F138" i="66"/>
  <c r="G138" i="66"/>
  <c r="F96" i="67"/>
  <c r="G96" i="67"/>
  <c r="F127" i="69"/>
  <c r="G127" i="69"/>
  <c r="G98" i="68"/>
  <c r="F98" i="68"/>
  <c r="F130" i="69"/>
  <c r="G130" i="69"/>
  <c r="G103" i="69"/>
  <c r="F103" i="69"/>
  <c r="AF157" i="66"/>
  <c r="AK157" i="66"/>
  <c r="AB161" i="67"/>
  <c r="AG161" i="67"/>
  <c r="G130" i="66"/>
  <c r="F130" i="66"/>
  <c r="AD161" i="67"/>
  <c r="AI161" i="67"/>
  <c r="F142" i="67"/>
  <c r="G142" i="67"/>
  <c r="G94" i="66"/>
  <c r="F94" i="66"/>
  <c r="AJ154" i="67"/>
  <c r="AE154" i="67"/>
  <c r="F119" i="67"/>
  <c r="G119" i="67"/>
  <c r="G175" i="68"/>
  <c r="F175" i="68"/>
  <c r="G94" i="68"/>
  <c r="F94" i="68"/>
  <c r="F148" i="68"/>
  <c r="G148" i="68"/>
  <c r="F102" i="66"/>
  <c r="G102" i="66"/>
  <c r="F169" i="69"/>
  <c r="G169" i="69"/>
  <c r="F117" i="67"/>
  <c r="G117" i="67"/>
  <c r="G101" i="67"/>
  <c r="F101" i="67"/>
  <c r="F156" i="69"/>
  <c r="G156" i="69"/>
  <c r="F137" i="68"/>
  <c r="G137" i="68"/>
  <c r="G142" i="66"/>
  <c r="F142" i="66"/>
  <c r="F180" i="68"/>
  <c r="G180" i="68"/>
  <c r="F144" i="69"/>
  <c r="G144" i="69"/>
  <c r="AG160" i="66"/>
  <c r="AB160" i="66"/>
  <c r="G174" i="69"/>
  <c r="F174" i="69"/>
  <c r="F124" i="69"/>
  <c r="G124" i="69"/>
  <c r="AG161" i="66"/>
  <c r="AB161" i="66"/>
  <c r="AJ157" i="67"/>
  <c r="AE157" i="67"/>
  <c r="G149" i="69"/>
  <c r="F149" i="69"/>
  <c r="G171" i="69"/>
  <c r="F171" i="69"/>
  <c r="G149" i="67"/>
  <c r="F149" i="67"/>
  <c r="F136" i="68"/>
  <c r="G136" i="68"/>
  <c r="AJ161" i="67"/>
  <c r="AE161" i="67"/>
  <c r="F148" i="69"/>
  <c r="G148" i="69"/>
  <c r="AK156" i="66"/>
  <c r="AF156" i="66"/>
  <c r="F149" i="68"/>
  <c r="G149" i="68"/>
  <c r="AI158" i="66"/>
  <c r="AD158" i="66"/>
  <c r="G55" i="70"/>
  <c r="F55" i="70"/>
  <c r="G168" i="68"/>
  <c r="F168" i="68"/>
  <c r="F178" i="68"/>
  <c r="G178" i="68"/>
  <c r="AE156" i="67"/>
  <c r="AJ156" i="67"/>
  <c r="G91" i="67"/>
  <c r="F91" i="67"/>
  <c r="F119" i="66"/>
  <c r="G119" i="66"/>
  <c r="F108" i="69"/>
  <c r="G108" i="69"/>
  <c r="AI158" i="67"/>
  <c r="AD158" i="67"/>
  <c r="G135" i="66"/>
  <c r="F135" i="66"/>
  <c r="F114" i="66"/>
  <c r="G114" i="66"/>
  <c r="G92" i="68"/>
  <c r="F92" i="68"/>
  <c r="G177" i="68"/>
  <c r="F177" i="68"/>
  <c r="F55" i="72"/>
  <c r="G55" i="72"/>
  <c r="G104" i="68"/>
  <c r="F104" i="68"/>
  <c r="F99" i="66"/>
  <c r="G99" i="66"/>
  <c r="G161" i="69"/>
  <c r="F161" i="69"/>
  <c r="F177" i="69"/>
  <c r="G177" i="69"/>
  <c r="F139" i="68"/>
  <c r="G139" i="68"/>
  <c r="G143" i="69"/>
  <c r="F143" i="69"/>
  <c r="F161" i="68"/>
  <c r="G161" i="68"/>
  <c r="G58" i="73"/>
  <c r="F58" i="73"/>
  <c r="F115" i="69"/>
  <c r="G115" i="69"/>
  <c r="AF154" i="66"/>
  <c r="AK154" i="66"/>
  <c r="G103" i="67"/>
  <c r="F103" i="67"/>
  <c r="C222" i="74"/>
  <c r="E222" i="74" s="1"/>
  <c r="F104" i="66"/>
  <c r="G104" i="66"/>
  <c r="G92" i="67"/>
  <c r="F92" i="67"/>
  <c r="F122" i="69"/>
  <c r="G122" i="69"/>
  <c r="AI155" i="67"/>
  <c r="AD155" i="67"/>
  <c r="F170" i="69"/>
  <c r="G170" i="69"/>
  <c r="F53" i="72"/>
  <c r="G53" i="72"/>
  <c r="AC159" i="66"/>
  <c r="AH159" i="66"/>
  <c r="G154" i="68"/>
  <c r="F154" i="68"/>
  <c r="G59" i="73"/>
  <c r="F59" i="73"/>
  <c r="G54" i="72"/>
  <c r="F54" i="72"/>
  <c r="G129" i="69"/>
  <c r="F129" i="69"/>
  <c r="G110" i="69"/>
  <c r="F110" i="69"/>
  <c r="F160" i="68"/>
  <c r="G160" i="68"/>
  <c r="F57" i="72"/>
  <c r="G57" i="72"/>
  <c r="F150" i="66"/>
  <c r="G150" i="66"/>
  <c r="AI156" i="66"/>
  <c r="AD156" i="66"/>
  <c r="G116" i="66"/>
  <c r="F116" i="66"/>
  <c r="F166" i="68"/>
  <c r="G166" i="68"/>
  <c r="AF160" i="66"/>
  <c r="AK160" i="66"/>
  <c r="F97" i="67"/>
  <c r="G97" i="67"/>
  <c r="AF157" i="67"/>
  <c r="AK157" i="67"/>
  <c r="G183" i="68"/>
  <c r="F183" i="68"/>
  <c r="F53" i="73"/>
  <c r="G53" i="73"/>
  <c r="F160" i="69"/>
  <c r="G160" i="69"/>
  <c r="F122" i="66"/>
  <c r="G122" i="66"/>
  <c r="G130" i="68"/>
  <c r="F130" i="68"/>
  <c r="G142" i="69"/>
  <c r="F142" i="69"/>
  <c r="F173" i="69"/>
  <c r="G173" i="69"/>
  <c r="G145" i="66"/>
  <c r="F145" i="66"/>
  <c r="G111" i="68"/>
  <c r="F111" i="68"/>
  <c r="F121" i="66"/>
  <c r="G121" i="66"/>
  <c r="AB154" i="67"/>
  <c r="AG154" i="67"/>
  <c r="AJ155" i="67"/>
  <c r="AE155" i="67"/>
  <c r="G126" i="69"/>
  <c r="F126" i="69"/>
  <c r="G122" i="67"/>
  <c r="F122" i="67"/>
  <c r="G111" i="66"/>
  <c r="F111" i="66"/>
  <c r="F135" i="68"/>
  <c r="G135" i="68"/>
  <c r="AK155" i="66"/>
  <c r="AF155" i="66"/>
  <c r="G120" i="67"/>
  <c r="F120" i="67"/>
  <c r="AJ160" i="67"/>
  <c r="AE160" i="67"/>
  <c r="G133" i="67"/>
  <c r="F133" i="67"/>
  <c r="F107" i="67"/>
  <c r="G107" i="67"/>
  <c r="AC161" i="67"/>
  <c r="AH161" i="67"/>
  <c r="G105" i="68"/>
  <c r="F105" i="68"/>
  <c r="AE161" i="66"/>
  <c r="AJ161" i="66"/>
  <c r="F157" i="68"/>
  <c r="G157" i="68"/>
  <c r="F153" i="69"/>
  <c r="G153" i="69"/>
  <c r="G110" i="67"/>
  <c r="F110" i="67"/>
  <c r="F96" i="66"/>
  <c r="G96" i="66"/>
  <c r="AI159" i="66"/>
  <c r="AD159" i="66"/>
  <c r="G165" i="68"/>
  <c r="F165" i="68"/>
  <c r="G116" i="69"/>
  <c r="F116" i="69"/>
  <c r="G106" i="66"/>
  <c r="F106" i="66"/>
  <c r="AH158" i="67"/>
  <c r="AC158" i="67"/>
  <c r="G134" i="69"/>
  <c r="F134" i="69"/>
  <c r="D221" i="74"/>
  <c r="F109" i="69"/>
  <c r="G109" i="69"/>
  <c r="D222" i="74"/>
  <c r="AD160" i="67"/>
  <c r="AI160" i="67"/>
  <c r="F115" i="66"/>
  <c r="G115" i="66"/>
  <c r="G133" i="69"/>
  <c r="F133" i="69"/>
  <c r="G134" i="68"/>
  <c r="F134" i="68"/>
  <c r="G136" i="67"/>
  <c r="F136" i="67"/>
  <c r="F176" i="69"/>
  <c r="G176" i="69"/>
  <c r="AJ155" i="66"/>
  <c r="AE155" i="66"/>
  <c r="G185" i="68"/>
  <c r="F185" i="68"/>
  <c r="G139" i="67"/>
  <c r="F139" i="67"/>
  <c r="F96" i="68"/>
  <c r="G96" i="68"/>
  <c r="G129" i="67"/>
  <c r="F129" i="67"/>
  <c r="C221" i="74"/>
  <c r="E221" i="74" s="1"/>
  <c r="F131" i="66"/>
  <c r="G131" i="66"/>
  <c r="F108" i="67"/>
  <c r="G108" i="67"/>
  <c r="F114" i="69"/>
  <c r="G114" i="69"/>
  <c r="F164" i="68"/>
  <c r="G164" i="68"/>
  <c r="AE158" i="66"/>
  <c r="AJ158" i="66"/>
  <c r="F109" i="66"/>
  <c r="G109" i="66"/>
  <c r="F148" i="67"/>
  <c r="G148" i="67"/>
  <c r="F141" i="68"/>
  <c r="G141" i="68"/>
  <c r="G97" i="68"/>
  <c r="F97" i="68"/>
  <c r="F146" i="68"/>
  <c r="G146" i="68"/>
  <c r="AI157" i="66"/>
  <c r="AD157" i="66"/>
  <c r="G184" i="68"/>
  <c r="F184" i="68"/>
  <c r="F166" i="69"/>
  <c r="G166" i="69"/>
  <c r="F135" i="69"/>
  <c r="G135" i="69"/>
  <c r="F100" i="67"/>
  <c r="G100" i="67"/>
  <c r="F105" i="66"/>
  <c r="G105" i="66"/>
  <c r="G121" i="67"/>
  <c r="F121" i="67"/>
  <c r="F119" i="69"/>
  <c r="G119" i="69"/>
  <c r="F185" i="69"/>
  <c r="G185" i="69"/>
  <c r="F151" i="68"/>
  <c r="G151" i="68"/>
  <c r="F182" i="68"/>
  <c r="G182" i="68"/>
  <c r="G136" i="69"/>
  <c r="F136" i="69"/>
  <c r="AC157" i="67"/>
  <c r="AH157" i="67"/>
  <c r="F54" i="73"/>
  <c r="G54" i="73"/>
  <c r="F129" i="68"/>
  <c r="G129" i="68"/>
  <c r="F102" i="67"/>
  <c r="G102" i="67"/>
  <c r="G138" i="67"/>
  <c r="F138" i="67"/>
  <c r="F111" i="69"/>
  <c r="G111" i="69"/>
  <c r="G93" i="66"/>
  <c r="F93" i="66"/>
  <c r="G59" i="71"/>
  <c r="F59" i="71"/>
  <c r="G183" i="69"/>
  <c r="F183" i="69"/>
  <c r="F108" i="66"/>
  <c r="G108" i="66"/>
  <c r="F152" i="69"/>
  <c r="G152" i="69"/>
  <c r="F123" i="67"/>
  <c r="G123" i="67"/>
  <c r="F103" i="68"/>
  <c r="G103" i="68"/>
  <c r="G172" i="69"/>
  <c r="F172" i="69"/>
  <c r="F62" i="59"/>
  <c r="I62" i="59"/>
  <c r="G62" i="59" s="1"/>
  <c r="G97" i="66"/>
  <c r="F97" i="66"/>
  <c r="F96" i="69"/>
  <c r="G96" i="69"/>
  <c r="F102" i="69"/>
  <c r="G102" i="69"/>
  <c r="F145" i="68"/>
  <c r="G145" i="68"/>
  <c r="G101" i="66"/>
  <c r="F101" i="66"/>
  <c r="G125" i="67"/>
  <c r="F125" i="67"/>
  <c r="G147" i="67"/>
  <c r="F147" i="67"/>
  <c r="F52" i="72"/>
  <c r="G52" i="72"/>
  <c r="G60" i="71"/>
  <c r="F60" i="71"/>
  <c r="AD161" i="66"/>
  <c r="AI161" i="66"/>
  <c r="G112" i="67"/>
  <c r="F112" i="67"/>
  <c r="AG155" i="67"/>
  <c r="AB155" i="67"/>
  <c r="AD154" i="67"/>
  <c r="AI154" i="67"/>
  <c r="G125" i="68"/>
  <c r="F125" i="68"/>
  <c r="F106" i="68"/>
  <c r="G106" i="68"/>
  <c r="F118" i="67"/>
  <c r="G118" i="67"/>
  <c r="F142" i="68"/>
  <c r="G142" i="68"/>
  <c r="G103" i="66"/>
  <c r="F103" i="66"/>
  <c r="AB156" i="67"/>
  <c r="AG156" i="67"/>
  <c r="G158" i="68"/>
  <c r="F158" i="68"/>
  <c r="AE160" i="66"/>
  <c r="AJ160" i="66"/>
  <c r="G126" i="66"/>
  <c r="F126" i="66"/>
  <c r="G137" i="67"/>
  <c r="F137" i="67"/>
  <c r="G56" i="70"/>
  <c r="F56" i="70"/>
  <c r="F176" i="68"/>
  <c r="G176" i="68"/>
  <c r="AC154" i="67"/>
  <c r="AH154" i="67"/>
  <c r="F128" i="66"/>
  <c r="G128" i="66"/>
  <c r="F155" i="68"/>
  <c r="G155" i="68"/>
  <c r="F93" i="69"/>
  <c r="G93" i="69"/>
  <c r="G118" i="66"/>
  <c r="F118" i="66"/>
  <c r="F113" i="69"/>
  <c r="G113" i="69"/>
  <c r="G179" i="68"/>
  <c r="F179" i="68"/>
  <c r="G105" i="69"/>
  <c r="F105" i="69"/>
  <c r="G171" i="68"/>
  <c r="F171" i="68"/>
  <c r="F59" i="70"/>
  <c r="G59" i="70"/>
  <c r="AE159" i="67"/>
  <c r="AJ159" i="67"/>
  <c r="G110" i="68"/>
  <c r="F110" i="68"/>
  <c r="F143" i="67"/>
  <c r="G143" i="67"/>
  <c r="G56" i="71"/>
  <c r="F56" i="71"/>
  <c r="G112" i="69"/>
  <c r="F112" i="69"/>
  <c r="AH158" i="66"/>
  <c r="AC158" i="66"/>
  <c r="F129" i="66"/>
  <c r="G129" i="66"/>
  <c r="G124" i="68"/>
  <c r="F124" i="68"/>
  <c r="G95" i="69"/>
  <c r="F95" i="69"/>
  <c r="G116" i="68"/>
  <c r="F116" i="68"/>
  <c r="G128" i="67"/>
  <c r="F128" i="67"/>
  <c r="G137" i="69"/>
  <c r="F137" i="69"/>
  <c r="G120" i="66"/>
  <c r="F120" i="66"/>
  <c r="F105" i="67"/>
  <c r="G105" i="67"/>
  <c r="F163" i="68"/>
  <c r="G163" i="68"/>
  <c r="F56" i="72"/>
  <c r="G56" i="72"/>
  <c r="F141" i="67"/>
  <c r="G141" i="67"/>
  <c r="F153" i="68"/>
  <c r="G153" i="68"/>
  <c r="G121" i="69"/>
  <c r="F121" i="69"/>
  <c r="F184" i="69"/>
  <c r="G184" i="69"/>
  <c r="F58" i="71"/>
  <c r="G58" i="71"/>
  <c r="F150" i="67"/>
  <c r="G150" i="67"/>
  <c r="F94" i="67"/>
  <c r="G94" i="67"/>
  <c r="AF154" i="67"/>
  <c r="AK154" i="67"/>
  <c r="AE159" i="66"/>
  <c r="AJ159" i="66"/>
  <c r="F140" i="68"/>
  <c r="G140" i="68"/>
  <c r="F91" i="68"/>
  <c r="G91" i="68"/>
  <c r="G127" i="68"/>
  <c r="F127" i="68"/>
  <c r="F57" i="73"/>
  <c r="G57" i="73"/>
  <c r="G146" i="67"/>
  <c r="F146" i="67"/>
  <c r="F101" i="68"/>
  <c r="G101" i="68"/>
  <c r="G53" i="70"/>
  <c r="F53" i="70"/>
  <c r="F100" i="69"/>
  <c r="G100" i="69"/>
  <c r="G128" i="69"/>
  <c r="F128" i="69"/>
  <c r="G123" i="68"/>
  <c r="F123" i="68"/>
  <c r="AB159" i="66"/>
  <c r="AG159" i="66"/>
  <c r="AK156" i="67"/>
  <c r="AF156" i="67"/>
  <c r="G151" i="69"/>
  <c r="F151" i="69"/>
  <c r="F92" i="69"/>
  <c r="G92" i="69"/>
  <c r="G170" i="68"/>
  <c r="F170" i="68"/>
  <c r="G112" i="66"/>
  <c r="F112" i="66"/>
  <c r="AH159" i="67"/>
  <c r="AC159" i="67"/>
  <c r="G106" i="69"/>
  <c r="F106" i="69"/>
  <c r="AB157" i="66"/>
  <c r="AG157" i="66"/>
  <c r="G125" i="66"/>
  <c r="F125" i="66"/>
  <c r="G60" i="72"/>
  <c r="F60" i="72"/>
  <c r="AF158" i="66"/>
  <c r="AK158" i="66"/>
  <c r="F114" i="67"/>
  <c r="G114" i="67"/>
  <c r="AC155" i="67"/>
  <c r="AH155" i="67"/>
  <c r="G159" i="68"/>
  <c r="F159" i="68"/>
  <c r="F108" i="68"/>
  <c r="G108" i="68"/>
  <c r="G121" i="68"/>
  <c r="F121" i="68"/>
  <c r="F143" i="66"/>
  <c r="G143" i="66"/>
  <c r="C221" i="75"/>
  <c r="AB160" i="67"/>
  <c r="AG160" i="67"/>
  <c r="F110" i="66"/>
  <c r="G110" i="66"/>
  <c r="G101" i="69"/>
  <c r="F101" i="69"/>
  <c r="AH155" i="66"/>
  <c r="AC155" i="66"/>
  <c r="F164" i="69"/>
  <c r="G164" i="69"/>
  <c r="AB159" i="67"/>
  <c r="AG159" i="67"/>
  <c r="F140" i="67"/>
  <c r="G140" i="67"/>
  <c r="G145" i="69"/>
  <c r="F145" i="69"/>
  <c r="G52" i="71"/>
  <c r="F52" i="71"/>
  <c r="F113" i="66"/>
  <c r="G113" i="66"/>
  <c r="G95" i="68"/>
  <c r="F95" i="68"/>
  <c r="G107" i="66"/>
  <c r="F107" i="66"/>
  <c r="AC161" i="66"/>
  <c r="AH161" i="66"/>
  <c r="G167" i="68"/>
  <c r="F167" i="68"/>
  <c r="G133" i="66"/>
  <c r="F133" i="66"/>
  <c r="G122" i="68"/>
  <c r="F122" i="68"/>
  <c r="G56" i="73"/>
  <c r="F56" i="73"/>
  <c r="G98" i="66"/>
  <c r="F98" i="66"/>
  <c r="G172" i="68"/>
  <c r="F172" i="68"/>
  <c r="F135" i="67"/>
  <c r="G135" i="67"/>
  <c r="F133" i="68"/>
  <c r="G133" i="68"/>
  <c r="F150" i="68"/>
  <c r="G150" i="68"/>
  <c r="F117" i="68"/>
  <c r="G117" i="68"/>
  <c r="G98" i="69"/>
  <c r="F98" i="69"/>
  <c r="G91" i="69"/>
  <c r="F91" i="69"/>
  <c r="G60" i="73"/>
  <c r="F60" i="73"/>
  <c r="F168" i="69"/>
  <c r="G168" i="69"/>
  <c r="AJ157" i="66"/>
  <c r="AE157" i="66"/>
  <c r="G144" i="68"/>
  <c r="F144" i="68"/>
  <c r="F118" i="69"/>
  <c r="G118" i="69"/>
  <c r="G117" i="69"/>
  <c r="F117" i="69"/>
  <c r="G104" i="67"/>
  <c r="F104" i="67"/>
  <c r="G130" i="67"/>
  <c r="F130" i="67"/>
  <c r="F169" i="68"/>
  <c r="G169" i="68"/>
  <c r="AF160" i="67"/>
  <c r="AK160" i="67"/>
  <c r="AB156" i="66"/>
  <c r="AG156" i="66"/>
  <c r="AH156" i="66"/>
  <c r="AC156" i="66"/>
  <c r="F131" i="67"/>
  <c r="G131" i="67"/>
  <c r="F99" i="67"/>
  <c r="G99" i="67"/>
  <c r="AG154" i="66"/>
  <c r="AB154" i="66"/>
  <c r="F138" i="68"/>
  <c r="G138" i="68"/>
  <c r="F159" i="69"/>
  <c r="G159" i="69"/>
  <c r="F109" i="68"/>
  <c r="G109" i="68"/>
  <c r="G175" i="69"/>
  <c r="F175" i="69"/>
  <c r="G150" i="69"/>
  <c r="F150" i="69"/>
  <c r="G57" i="71"/>
  <c r="F57" i="71"/>
  <c r="G113" i="67"/>
  <c r="F113" i="67"/>
  <c r="AB155" i="66"/>
  <c r="AG155" i="66"/>
  <c r="G136" i="66"/>
  <c r="F136" i="66"/>
  <c r="F144" i="67"/>
  <c r="G144" i="67"/>
  <c r="G144" i="66"/>
  <c r="F144" i="66"/>
  <c r="F132" i="69"/>
  <c r="G132" i="69"/>
  <c r="AF161" i="67"/>
  <c r="AK161" i="67"/>
  <c r="G149" i="66"/>
  <c r="F149" i="66"/>
  <c r="G173" i="68"/>
  <c r="F173" i="68"/>
  <c r="F106" i="67"/>
  <c r="G106" i="67"/>
  <c r="F182" i="69"/>
  <c r="G182" i="69"/>
  <c r="G57" i="70"/>
  <c r="F57" i="70"/>
  <c r="F113" i="68"/>
  <c r="G113" i="68"/>
  <c r="G137" i="66"/>
  <c r="F137" i="66"/>
  <c r="AB158" i="67"/>
  <c r="AG158" i="67"/>
  <c r="F93" i="67"/>
  <c r="G93" i="67"/>
  <c r="G58" i="70"/>
  <c r="F58" i="70"/>
  <c r="AK159" i="67"/>
  <c r="AF159" i="67"/>
  <c r="G109" i="67"/>
  <c r="F109" i="67"/>
  <c r="F95" i="67"/>
  <c r="G95" i="67"/>
  <c r="F147" i="66"/>
  <c r="G147" i="66"/>
  <c r="G181" i="68"/>
  <c r="F181" i="68"/>
  <c r="F123" i="66"/>
  <c r="G123" i="66"/>
  <c r="F55" i="71"/>
  <c r="G55" i="71"/>
  <c r="F157" i="69"/>
  <c r="G157" i="69"/>
  <c r="G115" i="67"/>
  <c r="F115" i="67"/>
  <c r="AJ156" i="66"/>
  <c r="AE156" i="66"/>
  <c r="AI160" i="66"/>
  <c r="AD160" i="66"/>
  <c r="D221" i="75"/>
  <c r="E221" i="75" s="1"/>
  <c r="F145" i="67"/>
  <c r="G145" i="67"/>
  <c r="G100" i="66"/>
  <c r="F100" i="66"/>
  <c r="G140" i="69"/>
  <c r="F140" i="69"/>
  <c r="G132" i="67"/>
  <c r="F132" i="67"/>
  <c r="F146" i="69"/>
  <c r="G146" i="69"/>
  <c r="AI157" i="67"/>
  <c r="AD157" i="67"/>
  <c r="G139" i="69"/>
  <c r="F139" i="69"/>
  <c r="F92" i="66"/>
  <c r="G92" i="66"/>
  <c r="F125" i="69"/>
  <c r="G125" i="69"/>
  <c r="F112" i="68"/>
  <c r="G112" i="68"/>
  <c r="G107" i="68"/>
  <c r="F107" i="68"/>
  <c r="F99" i="68"/>
  <c r="G99" i="68"/>
  <c r="F131" i="68"/>
  <c r="G131" i="68"/>
  <c r="F132" i="68"/>
  <c r="G132" i="68"/>
  <c r="F95" i="66"/>
  <c r="G95" i="66"/>
  <c r="F127" i="67"/>
  <c r="G127" i="67"/>
  <c r="F55" i="73"/>
  <c r="G55" i="73"/>
  <c r="G126" i="68"/>
  <c r="F126" i="68"/>
  <c r="G114" i="68"/>
  <c r="F114" i="68"/>
  <c r="F52" i="73"/>
  <c r="G52" i="73"/>
  <c r="F134" i="67"/>
  <c r="G134" i="67"/>
  <c r="F126" i="67"/>
  <c r="G126" i="67"/>
  <c r="F147" i="68"/>
  <c r="G147" i="68"/>
  <c r="G138" i="69"/>
  <c r="F138" i="69"/>
  <c r="G120" i="69"/>
  <c r="F120" i="69"/>
  <c r="G127" i="66"/>
  <c r="F127" i="66"/>
  <c r="AK161" i="66"/>
  <c r="AF161" i="66"/>
  <c r="G162" i="68"/>
  <c r="F162" i="68"/>
  <c r="F111" i="67"/>
  <c r="G111" i="67"/>
  <c r="AI156" i="67"/>
  <c r="AD156" i="67"/>
  <c r="G143" i="68"/>
  <c r="F143" i="68"/>
  <c r="F155" i="69"/>
  <c r="G155" i="69"/>
  <c r="F102" i="68"/>
  <c r="G102" i="68"/>
  <c r="AB158" i="66"/>
  <c r="AG158" i="66"/>
  <c r="G124" i="67"/>
  <c r="F124" i="67"/>
  <c r="AC157" i="66"/>
  <c r="AH157" i="66"/>
  <c r="F54" i="70"/>
  <c r="G54" i="70"/>
  <c r="F52" i="70"/>
  <c r="G52" i="70"/>
  <c r="F124" i="66"/>
  <c r="G124" i="66"/>
  <c r="C222" i="75"/>
  <c r="G180" i="69"/>
  <c r="F180" i="69"/>
  <c r="F120" i="68"/>
  <c r="G120" i="68"/>
  <c r="O15" i="66"/>
  <c r="G233" i="52"/>
  <c r="F233" i="52"/>
  <c r="G231" i="52"/>
  <c r="F231" i="52"/>
  <c r="G234" i="52"/>
  <c r="F234" i="52"/>
  <c r="F232" i="52"/>
  <c r="G232" i="52"/>
  <c r="G235" i="52"/>
  <c r="F235" i="52"/>
  <c r="F229" i="52"/>
  <c r="G229" i="52"/>
  <c r="F228" i="52"/>
  <c r="G228" i="52"/>
  <c r="F227" i="52"/>
  <c r="G227" i="52"/>
  <c r="G226" i="52"/>
  <c r="F226" i="52"/>
  <c r="G225" i="52"/>
  <c r="F225" i="52"/>
  <c r="G224" i="52"/>
  <c r="F224" i="52"/>
  <c r="G218" i="52"/>
  <c r="F218" i="52"/>
  <c r="G217" i="52"/>
  <c r="F217" i="52"/>
  <c r="G213" i="52"/>
  <c r="F213" i="52"/>
  <c r="G222" i="52"/>
  <c r="F222" i="52"/>
  <c r="G221" i="52"/>
  <c r="F221" i="52"/>
  <c r="F220" i="52"/>
  <c r="G220" i="52"/>
  <c r="G219" i="52"/>
  <c r="F219" i="52"/>
  <c r="D62" i="59" a="1"/>
  <c r="C62" i="59" a="1"/>
  <c r="C63" i="59" a="1"/>
  <c r="C116" i="67" a="1"/>
  <c r="C140" i="66" a="1"/>
  <c r="D151" i="68" a="1"/>
  <c r="S157" i="67" a="1"/>
  <c r="T157" i="66" a="1"/>
  <c r="D121" i="67" a="1"/>
  <c r="D154" i="68" a="1"/>
  <c r="V155" i="66" a="1"/>
  <c r="S161" i="66" a="1"/>
  <c r="D119" i="67" a="1"/>
  <c r="C142" i="68" a="1"/>
  <c r="C98" i="69" a="1"/>
  <c r="N160" i="66" a="1"/>
  <c r="C145" i="69" a="1"/>
  <c r="T159" i="66" a="1"/>
  <c r="C93" i="69" a="1"/>
  <c r="C136" i="69" a="1"/>
  <c r="D151" i="69" a="1"/>
  <c r="R155" i="67" a="1"/>
  <c r="D60" i="70" a="1"/>
  <c r="D101" i="68" a="1"/>
  <c r="D52" i="72" a="1"/>
  <c r="C119" i="69" a="1"/>
  <c r="D143" i="68" a="1"/>
  <c r="D91" i="66" a="1"/>
  <c r="D110" i="66" a="1"/>
  <c r="D91" i="67" a="1"/>
  <c r="D53" i="72" a="1"/>
  <c r="C116" i="68" a="1"/>
  <c r="C117" i="69" a="1"/>
  <c r="U160" i="67" a="1"/>
  <c r="M157" i="67" a="1"/>
  <c r="S160" i="66" a="1"/>
  <c r="D131" i="69" a="1"/>
  <c r="C109" i="66" a="1"/>
  <c r="D94" i="68" a="1"/>
  <c r="D142" i="68" a="1"/>
  <c r="D121" i="66" a="1"/>
  <c r="C54" i="71" a="1"/>
  <c r="T160" i="67" a="1"/>
  <c r="D99" i="69" a="1"/>
  <c r="C102" i="69" a="1"/>
  <c r="D146" i="66" a="1"/>
  <c r="N155" i="66" a="1"/>
  <c r="C92" i="67" a="1"/>
  <c r="D108" i="67" a="1"/>
  <c r="D102" i="67" a="1"/>
  <c r="D122" i="67" a="1"/>
  <c r="Q157" i="66" a="1"/>
  <c r="C180" i="68" a="1"/>
  <c r="D148" i="69" a="1"/>
  <c r="D54" i="72" a="1"/>
  <c r="C117" i="67" a="1"/>
  <c r="C53" i="72" a="1"/>
  <c r="D93" i="69" a="1"/>
  <c r="C104" i="67" a="1"/>
  <c r="D128" i="69" a="1"/>
  <c r="C120" i="69" a="1"/>
  <c r="Q160" i="66" a="1"/>
  <c r="D118" i="68" a="1"/>
  <c r="C119" i="66" a="1"/>
  <c r="D109" i="67" a="1"/>
  <c r="C179" i="68" a="1"/>
  <c r="C105" i="67" a="1"/>
  <c r="C120" i="68" a="1"/>
  <c r="P157" i="66" a="1"/>
  <c r="C98" i="66" a="1"/>
  <c r="S155" i="66" a="1"/>
  <c r="D102" i="66" a="1"/>
  <c r="T154" i="67" a="1"/>
  <c r="D140" i="66" a="1"/>
  <c r="C140" i="68" a="1"/>
  <c r="C93" i="68" a="1"/>
  <c r="D164" i="69" a="1"/>
  <c r="D96" i="68" a="1"/>
  <c r="D125" i="68" a="1"/>
  <c r="V159" i="66" a="1"/>
  <c r="C130" i="67" a="1"/>
  <c r="C104" i="69" a="1"/>
  <c r="D140" i="69" a="1"/>
  <c r="C100" i="68" a="1"/>
  <c r="D149" i="68" a="1"/>
  <c r="C59" i="71" a="1"/>
  <c r="U154" i="66" a="1"/>
  <c r="D59" i="71" a="1"/>
  <c r="Q161" i="67" a="1"/>
  <c r="C53" i="73" a="1"/>
  <c r="D152" i="68" a="1"/>
  <c r="C122" i="67" a="1"/>
  <c r="C149" i="68" a="1"/>
  <c r="C115" i="67" a="1"/>
  <c r="D101" i="69" a="1"/>
  <c r="C141" i="69" a="1"/>
  <c r="D140" i="68" a="1"/>
  <c r="D136" i="68" a="1"/>
  <c r="R158" i="67" a="1"/>
  <c r="C56" i="73" a="1"/>
  <c r="N157" i="67" a="1"/>
  <c r="C108" i="67" a="1"/>
  <c r="D129" i="69" a="1"/>
  <c r="O160" i="67" a="1"/>
  <c r="N159" i="67" a="1"/>
  <c r="C101" i="66" a="1"/>
  <c r="M158" i="67" a="1"/>
  <c r="C112" i="68" a="1"/>
  <c r="C91" i="66" a="1"/>
  <c r="C146" i="68" a="1"/>
  <c r="C182" i="69" a="1"/>
  <c r="M161" i="67" a="1"/>
  <c r="M154" i="67" a="1"/>
  <c r="C52" i="71" a="1"/>
  <c r="M160" i="67" a="1"/>
  <c r="N158" i="67" a="1"/>
  <c r="D156" i="68" a="1"/>
  <c r="S160" i="67" a="1"/>
  <c r="C95" i="66" a="1"/>
  <c r="C107" i="67" a="1"/>
  <c r="D123" i="66" a="1"/>
  <c r="D185" i="69" a="1"/>
  <c r="O155" i="66" a="1"/>
  <c r="C102" i="67" a="1"/>
  <c r="D98" i="69" a="1"/>
  <c r="D152" i="69" a="1"/>
  <c r="N161" i="66" a="1"/>
  <c r="D128" i="68" a="1"/>
  <c r="C164" i="69" a="1"/>
  <c r="C96" i="68" a="1"/>
  <c r="C133" i="69" a="1"/>
  <c r="D127" i="66" a="1"/>
  <c r="C91" i="68" a="1"/>
  <c r="P161" i="66" a="1"/>
  <c r="D136" i="66" a="1"/>
  <c r="D149" i="67" a="1"/>
  <c r="C121" i="66" a="1"/>
  <c r="D92" i="69" a="1"/>
  <c r="C98" i="68" a="1"/>
  <c r="C118" i="68" a="1"/>
  <c r="C109" i="67" a="1"/>
  <c r="D176" i="68" a="1"/>
  <c r="D143" i="67" a="1"/>
  <c r="C133" i="68" a="1"/>
  <c r="D53" i="73" a="1"/>
  <c r="C124" i="66" a="1"/>
  <c r="C105" i="69" a="1"/>
  <c r="U155" i="66" a="1"/>
  <c r="C131" i="69" a="1"/>
  <c r="R160" i="67" a="1"/>
  <c r="C105" i="68" a="1"/>
  <c r="C118" i="66" a="1"/>
  <c r="D94" i="67" a="1"/>
  <c r="D137" i="66" a="1"/>
  <c r="C94" i="68" a="1"/>
  <c r="D116" i="66" a="1"/>
  <c r="D133" i="68" a="1"/>
  <c r="O154" i="67" a="1"/>
  <c r="C111" i="68" a="1"/>
  <c r="C136" i="66" a="1"/>
  <c r="C96" i="69" a="1"/>
  <c r="P154" i="66" a="1"/>
  <c r="D146" i="68" a="1"/>
  <c r="C161" i="69" a="1"/>
  <c r="C127" i="66" a="1"/>
  <c r="C122" i="68" a="1"/>
  <c r="R157" i="67" a="1"/>
  <c r="C125" i="68" a="1"/>
  <c r="D182" i="69" a="1"/>
  <c r="C123" i="66" a="1"/>
  <c r="O160" i="66" a="1"/>
  <c r="D97" i="67" a="1"/>
  <c r="D166" i="68" a="1"/>
  <c r="O158" i="66" a="1"/>
  <c r="P159" i="67" a="1"/>
  <c r="C166" i="68" a="1"/>
  <c r="O155" i="67" a="1"/>
  <c r="D54" i="71" a="1"/>
  <c r="C136" i="68" a="1"/>
  <c r="D104" i="69" a="1"/>
  <c r="Q159" i="66" a="1"/>
  <c r="O157" i="66" a="1"/>
  <c r="C112" i="66" a="1"/>
  <c r="D109" i="66" a="1"/>
  <c r="D135" i="69" a="1"/>
  <c r="V160" i="66" a="1"/>
  <c r="C179" i="69" a="1"/>
  <c r="C149" i="69" a="1"/>
  <c r="S156" i="67" a="1"/>
  <c r="C126" i="68" a="1"/>
  <c r="D119" i="69" a="1"/>
  <c r="D105" i="67" a="1"/>
  <c r="C95" i="69" a="1"/>
  <c r="D106" i="69" a="1"/>
  <c r="D145" i="69" a="1"/>
  <c r="C146" i="66" a="1"/>
  <c r="D107" i="67" a="1"/>
  <c r="O159" i="66" a="1"/>
  <c r="Q158" i="66" a="1"/>
  <c r="D120" i="68" a="1"/>
  <c r="C60" i="71" a="1"/>
  <c r="C126" i="69" a="1"/>
  <c r="D60" i="71" a="1"/>
  <c r="P156" i="67" a="1"/>
  <c r="D154" i="69" a="1"/>
  <c r="C176" i="68" a="1"/>
  <c r="D93" i="68" a="1"/>
  <c r="D58" i="73" a="1"/>
  <c r="C146" i="67" a="1"/>
  <c r="C52" i="70" a="1"/>
  <c r="D111" i="68" a="1"/>
  <c r="Q156" i="66" a="1"/>
  <c r="D112" i="69" a="1"/>
  <c r="D177" i="68" a="1"/>
  <c r="Q155" i="66" a="1"/>
  <c r="U157" i="66" a="1"/>
  <c r="V161" i="67" a="1"/>
  <c r="C135" i="69" a="1"/>
  <c r="D52" i="71" a="1"/>
  <c r="N158" i="66" a="1"/>
  <c r="C102" i="66" a="1"/>
  <c r="D112" i="68" a="1"/>
  <c r="R158" i="66" a="1"/>
  <c r="C107" i="68" a="1"/>
  <c r="C167" i="68" a="1"/>
  <c r="D55" i="71" a="1"/>
  <c r="D56" i="72" a="1"/>
  <c r="C127" i="68" a="1"/>
  <c r="C117" i="68" a="1"/>
  <c r="C109" i="68" a="1"/>
  <c r="C173" i="68" a="1"/>
  <c r="D138" i="69" a="1"/>
  <c r="D99" i="68" a="1"/>
  <c r="V159" i="67" a="1"/>
  <c r="D62" i="59" l="1"/>
  <c r="C62" i="59"/>
  <c r="C63" i="59"/>
  <c r="D101" i="69"/>
  <c r="E101" i="69" s="1"/>
  <c r="D52" i="72"/>
  <c r="D116" i="66"/>
  <c r="D91" i="67"/>
  <c r="E91" i="67" s="1"/>
  <c r="D128" i="68"/>
  <c r="C173" i="68"/>
  <c r="E173" i="68" s="1"/>
  <c r="D152" i="69"/>
  <c r="E152" i="69" s="1"/>
  <c r="C119" i="66"/>
  <c r="E119" i="66" s="1"/>
  <c r="D58" i="73"/>
  <c r="E58" i="73" s="1"/>
  <c r="C98" i="66"/>
  <c r="E98" i="66" s="1"/>
  <c r="F38" i="66" s="1"/>
  <c r="S156" i="67"/>
  <c r="D143" i="68"/>
  <c r="C107" i="68"/>
  <c r="E107" i="68" s="1"/>
  <c r="D140" i="69"/>
  <c r="E140" i="69" s="1"/>
  <c r="B5" i="69" s="1"/>
  <c r="C125" i="68"/>
  <c r="E125" i="68" s="1"/>
  <c r="O157" i="66"/>
  <c r="C161" i="69"/>
  <c r="D177" i="68"/>
  <c r="C149" i="69"/>
  <c r="U155" i="66"/>
  <c r="D99" i="69"/>
  <c r="E99" i="69" s="1"/>
  <c r="D152" i="68"/>
  <c r="O160" i="66"/>
  <c r="C133" i="69"/>
  <c r="U160" i="67"/>
  <c r="D127" i="66"/>
  <c r="D123" i="66"/>
  <c r="R158" i="67"/>
  <c r="C182" i="69"/>
  <c r="D133" i="68"/>
  <c r="S161" i="66"/>
  <c r="D164" i="69"/>
  <c r="E164" i="69" s="1"/>
  <c r="R160" i="67"/>
  <c r="D96" i="68"/>
  <c r="C121" i="66"/>
  <c r="E121" i="66" s="1"/>
  <c r="C53" i="73"/>
  <c r="Q160" i="66"/>
  <c r="D131" i="69"/>
  <c r="E131" i="69" s="1"/>
  <c r="S160" i="67"/>
  <c r="D93" i="69"/>
  <c r="E93" i="69" s="1"/>
  <c r="C176" i="68"/>
  <c r="E176" i="68" s="1"/>
  <c r="D142" i="68"/>
  <c r="D119" i="69"/>
  <c r="E119" i="69" s="1"/>
  <c r="B36" i="69" s="1"/>
  <c r="D146" i="68"/>
  <c r="D108" i="67"/>
  <c r="E108" i="67" s="1"/>
  <c r="D149" i="68"/>
  <c r="C167" i="68"/>
  <c r="E167" i="68" s="1"/>
  <c r="D154" i="68"/>
  <c r="O160" i="67"/>
  <c r="D166" i="68"/>
  <c r="C53" i="72"/>
  <c r="E53" i="72" s="1"/>
  <c r="V159" i="66"/>
  <c r="D146" i="66"/>
  <c r="C102" i="66"/>
  <c r="E102" i="66" s="1"/>
  <c r="D176" i="68"/>
  <c r="D94" i="67"/>
  <c r="E94" i="67" s="1"/>
  <c r="O155" i="66"/>
  <c r="C166" i="68"/>
  <c r="E166" i="68" s="1"/>
  <c r="C92" i="67"/>
  <c r="C136" i="68"/>
  <c r="E136" i="68" s="1"/>
  <c r="S9" i="68" s="1"/>
  <c r="D60" i="71"/>
  <c r="E60" i="71" s="1"/>
  <c r="D53" i="73"/>
  <c r="E53" i="73" s="1"/>
  <c r="D136" i="68"/>
  <c r="C60" i="71"/>
  <c r="C127" i="68"/>
  <c r="E127" i="68" s="1"/>
  <c r="D102" i="67"/>
  <c r="E102" i="67" s="1"/>
  <c r="N161" i="66"/>
  <c r="C116" i="68"/>
  <c r="E116" i="68" s="1"/>
  <c r="D102" i="66"/>
  <c r="D99" i="68"/>
  <c r="D92" i="69"/>
  <c r="E92" i="69" s="1"/>
  <c r="D154" i="69"/>
  <c r="E154" i="69" s="1"/>
  <c r="D145" i="69"/>
  <c r="E145" i="69" s="1"/>
  <c r="C98" i="68"/>
  <c r="E98" i="68" s="1"/>
  <c r="C117" i="69"/>
  <c r="D148" i="69"/>
  <c r="E148" i="69" s="1"/>
  <c r="B47" i="69" s="1"/>
  <c r="D120" i="68"/>
  <c r="C145" i="69"/>
  <c r="C179" i="69"/>
  <c r="C102" i="67"/>
  <c r="M154" i="67"/>
  <c r="C120" i="68"/>
  <c r="E120" i="68" s="1"/>
  <c r="C56" i="73"/>
  <c r="N157" i="67"/>
  <c r="C52" i="70"/>
  <c r="E52" i="70" s="1"/>
  <c r="C93" i="69"/>
  <c r="C124" i="66"/>
  <c r="E124" i="66" s="1"/>
  <c r="C109" i="66"/>
  <c r="E109" i="66" s="1"/>
  <c r="V161" i="67"/>
  <c r="D137" i="66"/>
  <c r="D97" i="67"/>
  <c r="E97" i="67" s="1"/>
  <c r="D94" i="68"/>
  <c r="Q157" i="66"/>
  <c r="C118" i="68"/>
  <c r="E118" i="68" s="1"/>
  <c r="M161" i="67"/>
  <c r="C95" i="66"/>
  <c r="E95" i="66" s="1"/>
  <c r="D182" i="69"/>
  <c r="E182" i="69" s="1"/>
  <c r="C136" i="69"/>
  <c r="C98" i="69"/>
  <c r="C116" i="67"/>
  <c r="C179" i="68"/>
  <c r="E179" i="68" s="1"/>
  <c r="D91" i="66"/>
  <c r="C146" i="66"/>
  <c r="E146" i="66" s="1"/>
  <c r="M160" i="67"/>
  <c r="O158" i="66"/>
  <c r="D151" i="69"/>
  <c r="E151" i="69" s="1"/>
  <c r="D112" i="69"/>
  <c r="E112" i="69" s="1"/>
  <c r="B21" i="69" s="1"/>
  <c r="D121" i="67"/>
  <c r="E121" i="67" s="1"/>
  <c r="A21" i="67" s="1"/>
  <c r="A156" i="67" s="1"/>
  <c r="C146" i="67"/>
  <c r="C96" i="69"/>
  <c r="C100" i="68"/>
  <c r="E100" i="68" s="1"/>
  <c r="D107" i="67"/>
  <c r="E107" i="67" s="1"/>
  <c r="T154" i="67"/>
  <c r="P154" i="66"/>
  <c r="C112" i="68"/>
  <c r="E112" i="68" s="1"/>
  <c r="B21" i="68" s="1"/>
  <c r="D111" i="68"/>
  <c r="M157" i="67"/>
  <c r="C91" i="68"/>
  <c r="E91" i="68" s="1"/>
  <c r="D136" i="66"/>
  <c r="D59" i="71"/>
  <c r="E59" i="71" s="1"/>
  <c r="C118" i="66"/>
  <c r="E118" i="66" s="1"/>
  <c r="D119" i="67"/>
  <c r="E119" i="67" s="1"/>
  <c r="D135" i="69"/>
  <c r="E135" i="69" s="1"/>
  <c r="B9" i="69" s="1"/>
  <c r="D140" i="66"/>
  <c r="S157" i="67"/>
  <c r="C149" i="68"/>
  <c r="E149" i="68" s="1"/>
  <c r="B45" i="68" s="1"/>
  <c r="P161" i="66"/>
  <c r="O159" i="66"/>
  <c r="Q161" i="67"/>
  <c r="C140" i="68"/>
  <c r="E140" i="68" s="1"/>
  <c r="B5" i="68" s="1"/>
  <c r="C130" i="67"/>
  <c r="C94" i="68"/>
  <c r="E94" i="68" s="1"/>
  <c r="C104" i="67"/>
  <c r="T160" i="67"/>
  <c r="Q156" i="66"/>
  <c r="V159" i="67"/>
  <c r="C93" i="68"/>
  <c r="E93" i="68" s="1"/>
  <c r="D138" i="69"/>
  <c r="E138" i="69" s="1"/>
  <c r="B10" i="69" s="1"/>
  <c r="Q159" i="66"/>
  <c r="R158" i="66"/>
  <c r="C142" i="68"/>
  <c r="E142" i="68" s="1"/>
  <c r="D125" i="68"/>
  <c r="U157" i="66"/>
  <c r="C146" i="68"/>
  <c r="D55" i="71"/>
  <c r="E55" i="71" s="1"/>
  <c r="C91" i="66"/>
  <c r="E91" i="66" s="1"/>
  <c r="C131" i="69"/>
  <c r="C117" i="67"/>
  <c r="V160" i="66"/>
  <c r="O154" i="67"/>
  <c r="U154" i="66"/>
  <c r="D112" i="68"/>
  <c r="C111" i="68"/>
  <c r="E111" i="68" s="1"/>
  <c r="R157" i="67"/>
  <c r="D54" i="71"/>
  <c r="E54" i="71" s="1"/>
  <c r="C136" i="66"/>
  <c r="E136" i="66" s="1"/>
  <c r="V155" i="66"/>
  <c r="D122" i="67"/>
  <c r="E122" i="67" s="1"/>
  <c r="C104" i="69"/>
  <c r="N160" i="66"/>
  <c r="C140" i="66"/>
  <c r="E140" i="66" s="1"/>
  <c r="D54" i="72"/>
  <c r="D128" i="69"/>
  <c r="E128" i="69" s="1"/>
  <c r="C101" i="66"/>
  <c r="E101" i="66" s="1"/>
  <c r="T159" i="66"/>
  <c r="D140" i="68"/>
  <c r="C122" i="68"/>
  <c r="E122" i="68" s="1"/>
  <c r="N158" i="67"/>
  <c r="C105" i="68"/>
  <c r="E105" i="68" s="1"/>
  <c r="C141" i="69"/>
  <c r="D121" i="66"/>
  <c r="T157" i="66"/>
  <c r="D93" i="68"/>
  <c r="D101" i="68"/>
  <c r="C119" i="69"/>
  <c r="D149" i="67"/>
  <c r="E149" i="67" s="1"/>
  <c r="C126" i="69"/>
  <c r="C126" i="68"/>
  <c r="E126" i="68" s="1"/>
  <c r="D129" i="69"/>
  <c r="E129" i="69" s="1"/>
  <c r="P157" i="66"/>
  <c r="C109" i="67"/>
  <c r="C180" i="68"/>
  <c r="E180" i="68" s="1"/>
  <c r="C120" i="69"/>
  <c r="C95" i="69"/>
  <c r="C115" i="67"/>
  <c r="C52" i="71"/>
  <c r="D110" i="66"/>
  <c r="C105" i="67"/>
  <c r="D106" i="69"/>
  <c r="E106" i="69" s="1"/>
  <c r="C54" i="71"/>
  <c r="D60" i="70"/>
  <c r="N159" i="67"/>
  <c r="Q155" i="66"/>
  <c r="P159" i="67"/>
  <c r="C122" i="67"/>
  <c r="D104" i="69"/>
  <c r="E104" i="69" s="1"/>
  <c r="S160" i="66"/>
  <c r="D156" i="68"/>
  <c r="C102" i="69"/>
  <c r="C117" i="68"/>
  <c r="E117" i="68" s="1"/>
  <c r="D109" i="66"/>
  <c r="C96" i="68"/>
  <c r="E96" i="68" s="1"/>
  <c r="C123" i="66"/>
  <c r="E123" i="66" s="1"/>
  <c r="C105" i="69"/>
  <c r="D151" i="68"/>
  <c r="M158" i="67"/>
  <c r="D56" i="72"/>
  <c r="N158" i="66"/>
  <c r="D185" i="69"/>
  <c r="E185" i="69" s="1"/>
  <c r="D118" i="68"/>
  <c r="D143" i="67"/>
  <c r="E143" i="67" s="1"/>
  <c r="Q158" i="66"/>
  <c r="D53" i="72"/>
  <c r="C127" i="66"/>
  <c r="E127" i="66" s="1"/>
  <c r="B156" i="66" s="1"/>
  <c r="D98" i="69"/>
  <c r="E98" i="69" s="1"/>
  <c r="C108" i="67"/>
  <c r="C109" i="68"/>
  <c r="E109" i="68" s="1"/>
  <c r="C133" i="68"/>
  <c r="E133" i="68" s="1"/>
  <c r="S155" i="66"/>
  <c r="D109" i="67"/>
  <c r="E109" i="67" s="1"/>
  <c r="P156" i="67"/>
  <c r="R155" i="67"/>
  <c r="C164" i="69"/>
  <c r="C107" i="67"/>
  <c r="D52" i="71"/>
  <c r="E52" i="71" s="1"/>
  <c r="D105" i="67"/>
  <c r="E105" i="67" s="1"/>
  <c r="N155" i="66"/>
  <c r="C112" i="66"/>
  <c r="E112" i="66" s="1"/>
  <c r="S26" i="66" s="1"/>
  <c r="C59" i="71"/>
  <c r="O155" i="67"/>
  <c r="C135" i="69"/>
  <c r="O16" i="66"/>
  <c r="A212" i="52"/>
  <c r="A211" i="52"/>
  <c r="A214" i="52"/>
  <c r="A215" i="52"/>
  <c r="A216" i="52"/>
  <c r="A210" i="52"/>
  <c r="A209" i="52"/>
  <c r="D198" i="52"/>
  <c r="C198" i="52"/>
  <c r="B198" i="52"/>
  <c r="A55" i="62"/>
  <c r="A54" i="62"/>
  <c r="A53" i="62"/>
  <c r="A56" i="62"/>
  <c r="A52" i="62"/>
  <c r="B56" i="62"/>
  <c r="B55" i="62"/>
  <c r="B54" i="62"/>
  <c r="B52" i="62"/>
  <c r="B52" i="63"/>
  <c r="A52" i="63"/>
  <c r="B54" i="63"/>
  <c r="A54" i="63"/>
  <c r="A55" i="63"/>
  <c r="B55" i="63"/>
  <c r="B56" i="63"/>
  <c r="A56" i="63"/>
  <c r="A57" i="63"/>
  <c r="A59" i="62"/>
  <c r="A58" i="62"/>
  <c r="A57" i="62"/>
  <c r="B53" i="62"/>
  <c r="D51" i="62"/>
  <c r="C51" i="62"/>
  <c r="B51" i="62"/>
  <c r="D63" i="59" a="1"/>
  <c r="C154" i="68" a="1"/>
  <c r="C110" i="68" a="1"/>
  <c r="P156" i="66" a="1"/>
  <c r="D92" i="66" a="1"/>
  <c r="C136" i="67" a="1"/>
  <c r="C101" i="69" a="1"/>
  <c r="S156" i="66" a="1"/>
  <c r="C116" i="66" a="1"/>
  <c r="D92" i="68" a="1"/>
  <c r="C115" i="66" a="1"/>
  <c r="D147" i="69" a="1"/>
  <c r="C54" i="70" a="1"/>
  <c r="D126" i="69" a="1"/>
  <c r="C55" i="72" a="1"/>
  <c r="O161" i="66" a="1"/>
  <c r="D113" i="68" a="1"/>
  <c r="C157" i="69" a="1"/>
  <c r="C178" i="69" a="1"/>
  <c r="D104" i="68" a="1"/>
  <c r="D112" i="66" a="1"/>
  <c r="C143" i="67" a="1"/>
  <c r="D114" i="67" a="1"/>
  <c r="C118" i="69" a="1"/>
  <c r="D97" i="68" a="1"/>
  <c r="D98" i="67" a="1"/>
  <c r="D95" i="66" a="1"/>
  <c r="C111" i="69" a="1"/>
  <c r="T159" i="67" a="1"/>
  <c r="D108" i="68" a="1"/>
  <c r="P159" i="66" a="1"/>
  <c r="D101" i="67" a="1"/>
  <c r="D150" i="66" a="1"/>
  <c r="C173" i="69" a="1"/>
  <c r="D177" i="69" a="1"/>
  <c r="D100" i="67" a="1"/>
  <c r="C113" i="66" a="1"/>
  <c r="N154" i="67" a="1"/>
  <c r="R160" i="66" a="1"/>
  <c r="D144" i="69" a="1"/>
  <c r="D118" i="67" a="1"/>
  <c r="T157" i="67" a="1"/>
  <c r="C177" i="69" a="1"/>
  <c r="C142" i="67" a="1"/>
  <c r="C141" i="68" a="1"/>
  <c r="D133" i="69" a="1"/>
  <c r="D139" i="66" a="1"/>
  <c r="C180" i="69" a="1"/>
  <c r="C106" i="67" a="1"/>
  <c r="C56" i="72" a="1"/>
  <c r="D116" i="68" a="1"/>
  <c r="C97" i="69" a="1"/>
  <c r="C99" i="68" a="1"/>
  <c r="C121" i="68" a="1"/>
  <c r="C113" i="67" a="1"/>
  <c r="C150" i="66" a="1"/>
  <c r="C57" i="73" a="1"/>
  <c r="C57" i="72" a="1"/>
  <c r="D125" i="66" a="1"/>
  <c r="C94" i="66" a="1"/>
  <c r="C141" i="66" a="1"/>
  <c r="D148" i="67" a="1"/>
  <c r="C122" i="66" a="1"/>
  <c r="D182" i="68" a="1"/>
  <c r="R159" i="66" a="1"/>
  <c r="C124" i="68" a="1"/>
  <c r="P155" i="67" a="1"/>
  <c r="C95" i="68" a="1"/>
  <c r="C111" i="66" a="1"/>
  <c r="D109" i="69" a="1"/>
  <c r="D108" i="66" a="1"/>
  <c r="C58" i="71" a="1"/>
  <c r="Q161" i="66" a="1"/>
  <c r="C132" i="66" a="1"/>
  <c r="C128" i="68" a="1"/>
  <c r="C94" i="67" a="1"/>
  <c r="C119" i="67" a="1"/>
  <c r="C139" i="68" a="1"/>
  <c r="D96" i="66" a="1"/>
  <c r="M155" i="67" a="1"/>
  <c r="C164" i="68" a="1"/>
  <c r="C134" i="67" a="1"/>
  <c r="C150" i="68" a="1"/>
  <c r="C93" i="67" a="1"/>
  <c r="D132" i="66" a="1"/>
  <c r="Q154" i="67" a="1"/>
  <c r="N156" i="66" a="1"/>
  <c r="C124" i="67" a="1"/>
  <c r="C108" i="69" a="1"/>
  <c r="V156" i="67" a="1"/>
  <c r="D131" i="67" a="1"/>
  <c r="T158" i="67" a="1"/>
  <c r="D55" i="70" a="1"/>
  <c r="C126" i="66" a="1"/>
  <c r="C106" i="66" a="1"/>
  <c r="D170" i="69" a="1"/>
  <c r="D94" i="66" a="1"/>
  <c r="D134" i="66" a="1"/>
  <c r="C58" i="72" a="1"/>
  <c r="C53" i="70" a="1"/>
  <c r="C99" i="66" a="1"/>
  <c r="C132" i="68" a="1"/>
  <c r="D105" i="69" a="1"/>
  <c r="T161" i="66" a="1"/>
  <c r="C60" i="70" a="1"/>
  <c r="D54" i="73" a="1"/>
  <c r="C152" i="68" a="1"/>
  <c r="C122" i="69" a="1"/>
  <c r="D139" i="69" a="1"/>
  <c r="D110" i="69" a="1"/>
  <c r="N161" i="67" a="1"/>
  <c r="D59" i="73" a="1"/>
  <c r="C52" i="72" a="1"/>
  <c r="D145" i="66" a="1"/>
  <c r="C104" i="66" a="1"/>
  <c r="V157" i="66" a="1"/>
  <c r="P154" i="67" a="1"/>
  <c r="D97" i="69" a="1"/>
  <c r="D91" i="68" a="1"/>
  <c r="V154" i="67" a="1"/>
  <c r="D98" i="66" a="1"/>
  <c r="D120" i="69" a="1"/>
  <c r="D113" i="67" a="1"/>
  <c r="M159" i="67" a="1"/>
  <c r="D102" i="69" a="1"/>
  <c r="C167" i="69" a="1"/>
  <c r="C127" i="67" a="1"/>
  <c r="D107" i="66" a="1"/>
  <c r="D129" i="67" a="1"/>
  <c r="M156" i="67" a="1"/>
  <c r="C102" i="68" a="1"/>
  <c r="D129" i="66" a="1"/>
  <c r="D121" i="69" a="1"/>
  <c r="D142" i="66" a="1"/>
  <c r="R157" i="66" a="1"/>
  <c r="C147" i="67" a="1"/>
  <c r="D56" i="73" a="1"/>
  <c r="C183" i="69" a="1"/>
  <c r="D120" i="67" a="1"/>
  <c r="C165" i="69" a="1"/>
  <c r="C59" i="73" a="1"/>
  <c r="P161" i="67" a="1"/>
  <c r="C60" i="63" a="1"/>
  <c r="V154" i="66" a="1"/>
  <c r="D119" i="66" a="1"/>
  <c r="O158" i="67" a="1"/>
  <c r="D144" i="67" a="1"/>
  <c r="C143" i="66" a="1"/>
  <c r="D108" i="69" a="1"/>
  <c r="U158" i="66" a="1"/>
  <c r="C141" i="67" a="1"/>
  <c r="D97" i="66" a="1"/>
  <c r="N160" i="67" a="1"/>
  <c r="D144" i="68" a="1"/>
  <c r="U159" i="67" a="1"/>
  <c r="D104" i="67" a="1"/>
  <c r="C129" i="69" a="1"/>
  <c r="D165" i="68" a="1"/>
  <c r="D55" i="72" a="1"/>
  <c r="D173" i="68" a="1"/>
  <c r="C150" i="69" a="1"/>
  <c r="C108" i="66" a="1"/>
  <c r="C139" i="69" a="1"/>
  <c r="C58" i="70" a="1"/>
  <c r="D122" i="68" a="1"/>
  <c r="V157" i="67" a="1"/>
  <c r="D134" i="68" a="1"/>
  <c r="D181" i="68" a="1"/>
  <c r="C54" i="73" a="1"/>
  <c r="D119" i="68" a="1"/>
  <c r="C156" i="69" a="1"/>
  <c r="C59" i="72" a="1"/>
  <c r="D114" i="66" a="1"/>
  <c r="D131" i="66" a="1"/>
  <c r="D147" i="66" a="1"/>
  <c r="C56" i="70" a="1"/>
  <c r="C185" i="69" a="1"/>
  <c r="D142" i="69" a="1"/>
  <c r="D148" i="66" a="1"/>
  <c r="D133" i="67" a="1"/>
  <c r="D124" i="67" a="1"/>
  <c r="D93" i="66" a="1"/>
  <c r="D173" i="69" a="1"/>
  <c r="V155" i="67" a="1"/>
  <c r="D150" i="68" a="1"/>
  <c r="U156" i="67" a="1"/>
  <c r="C133" i="66" a="1"/>
  <c r="C135" i="68" a="1"/>
  <c r="C118" i="67" a="1"/>
  <c r="D129" i="68" a="1"/>
  <c r="D117" i="68" a="1"/>
  <c r="U154" i="67" a="1"/>
  <c r="C100" i="69" a="1"/>
  <c r="D57" i="72" a="1"/>
  <c r="C110" i="66" a="1"/>
  <c r="C165" i="68" a="1"/>
  <c r="C100" i="66" a="1"/>
  <c r="C96" i="66" a="1"/>
  <c r="D147" i="67" a="1"/>
  <c r="D161" i="69" a="1"/>
  <c r="D107" i="69" a="1"/>
  <c r="D161" i="68" a="1"/>
  <c r="D116" i="67" a="1"/>
  <c r="D137" i="69" a="1"/>
  <c r="C92" i="66" a="1"/>
  <c r="C142" i="66" a="1"/>
  <c r="D126" i="68" a="1"/>
  <c r="D179" i="68" a="1"/>
  <c r="C57" i="71" a="1"/>
  <c r="D53" i="71" a="1"/>
  <c r="D139" i="68" a="1"/>
  <c r="D141" i="68" a="1"/>
  <c r="C145" i="66" a="1"/>
  <c r="D104" i="66" a="1"/>
  <c r="D100" i="69" a="1"/>
  <c r="C107" i="69" a="1"/>
  <c r="C185" i="68" a="1"/>
  <c r="D106" i="67" a="1"/>
  <c r="D180" i="68" a="1"/>
  <c r="N155" i="67" a="1"/>
  <c r="D166" i="69" a="1"/>
  <c r="C148" i="69" a="1"/>
  <c r="D149" i="69" a="1"/>
  <c r="S157" i="66" a="1"/>
  <c r="C91" i="69" a="1"/>
  <c r="D60" i="63" a="1"/>
  <c r="C132" i="67" a="1"/>
  <c r="T155" i="67" a="1"/>
  <c r="C114" i="69" a="1"/>
  <c r="D54" i="70" a="1"/>
  <c r="D184" i="69" a="1"/>
  <c r="D95" i="68" a="1"/>
  <c r="C109" i="69" a="1"/>
  <c r="D100" i="66" a="1"/>
  <c r="C156" i="68" a="1"/>
  <c r="O154" i="66" a="1"/>
  <c r="D52" i="73" a="1"/>
  <c r="D118" i="69" a="1"/>
  <c r="C99" i="67" a="1"/>
  <c r="U157" i="67" a="1"/>
  <c r="D149" i="66" a="1"/>
  <c r="C128" i="69" a="1"/>
  <c r="T156" i="67" a="1"/>
  <c r="D127" i="68" a="1"/>
  <c r="R154" i="66" a="1"/>
  <c r="D92" i="67" a="1"/>
  <c r="D160" i="68" a="1"/>
  <c r="C134" i="68" a="1"/>
  <c r="C140" i="69" a="1"/>
  <c r="C113" i="68" a="1"/>
  <c r="M158" i="66" a="1"/>
  <c r="C130" i="69" a="1"/>
  <c r="C130" i="66" a="1"/>
  <c r="C137" i="68" a="1"/>
  <c r="C154" i="69" a="1"/>
  <c r="D122" i="66" a="1"/>
  <c r="D106" i="66" a="1"/>
  <c r="D137" i="67" a="1"/>
  <c r="C99" i="69" a="1"/>
  <c r="C143" i="69" a="1"/>
  <c r="C145" i="68" a="1"/>
  <c r="D130" i="69" a="1"/>
  <c r="C182" i="68" a="1"/>
  <c r="M159" i="66" a="1"/>
  <c r="C142" i="69" a="1"/>
  <c r="Q156" i="67" a="1"/>
  <c r="D141" i="67" a="1"/>
  <c r="P157" i="67" a="1"/>
  <c r="U155" i="67" a="1"/>
  <c r="D180" i="69" a="1"/>
  <c r="S154" i="67" a="1"/>
  <c r="D114" i="68" a="1"/>
  <c r="D134" i="69" a="1"/>
  <c r="D181" i="69" a="1"/>
  <c r="D133" i="66" a="1"/>
  <c r="C126" i="67" a="1"/>
  <c r="C128" i="67" a="1"/>
  <c r="D216" i="74" a="1"/>
  <c r="C176" i="69" a="1"/>
  <c r="C144" i="67" a="1"/>
  <c r="C55" i="71" a="1"/>
  <c r="C98" i="67" a="1"/>
  <c r="M157" i="66" a="1"/>
  <c r="C148" i="66" a="1"/>
  <c r="C117" i="66" a="1"/>
  <c r="D57" i="73" a="1"/>
  <c r="C152" i="69" a="1"/>
  <c r="T158" i="66" a="1"/>
  <c r="O157" i="67" a="1"/>
  <c r="D94" i="69" a="1"/>
  <c r="C138" i="69" a="1"/>
  <c r="R154" i="67" a="1"/>
  <c r="D150" i="67" a="1"/>
  <c r="C160" i="69" a="1"/>
  <c r="C170" i="68" a="1"/>
  <c r="C110" i="69" a="1"/>
  <c r="N156" i="67" a="1"/>
  <c r="D59" i="70" a="1"/>
  <c r="D99" i="66" a="1"/>
  <c r="C96" i="67" a="1"/>
  <c r="U158" i="67" a="1"/>
  <c r="C125" i="66" a="1"/>
  <c r="D95" i="67" a="1"/>
  <c r="U159" i="66" a="1"/>
  <c r="T156" i="66" a="1"/>
  <c r="D138" i="67" a="1"/>
  <c r="U160" i="66" a="1"/>
  <c r="V158" i="67" a="1"/>
  <c r="D115" i="68" a="1"/>
  <c r="D107" i="68" a="1"/>
  <c r="R156" i="66" a="1"/>
  <c r="C128" i="66" a="1"/>
  <c r="D117" i="67" a="1"/>
  <c r="C149" i="66" a="1"/>
  <c r="S159" i="66" a="1"/>
  <c r="D128" i="66" a="1"/>
  <c r="D160" i="69" a="1"/>
  <c r="T160" i="66" a="1"/>
  <c r="D115" i="69" a="1"/>
  <c r="D125" i="69" a="1"/>
  <c r="C101" i="68" a="1"/>
  <c r="D123" i="67" a="1"/>
  <c r="D124" i="69" a="1"/>
  <c r="C59" i="70" a="1"/>
  <c r="C131" i="66" a="1"/>
  <c r="C138" i="67" a="1"/>
  <c r="V161" i="66" a="1"/>
  <c r="C160" i="68" a="1"/>
  <c r="C125" i="69" a="1"/>
  <c r="C157" i="68" a="1"/>
  <c r="C144" i="66" a="1"/>
  <c r="R161" i="67" a="1"/>
  <c r="D136" i="69" a="1"/>
  <c r="C166" i="69" a="1"/>
  <c r="C97" i="67" a="1"/>
  <c r="D117" i="69" a="1"/>
  <c r="D143" i="66" a="1"/>
  <c r="S158" i="66" a="1"/>
  <c r="V156" i="66" a="1"/>
  <c r="D132" i="67" a="1"/>
  <c r="D91" i="69" a="1"/>
  <c r="V158" i="66" a="1"/>
  <c r="S154" i="66" a="1"/>
  <c r="D122" i="69" a="1"/>
  <c r="D114" i="69" a="1"/>
  <c r="R155" i="66" a="1"/>
  <c r="D134" i="67" a="1"/>
  <c r="M155" i="66" a="1"/>
  <c r="C170" i="69" a="1"/>
  <c r="C151" i="68" a="1"/>
  <c r="D96" i="67" a="1"/>
  <c r="D113" i="69" a="1"/>
  <c r="C120" i="67" a="1"/>
  <c r="C100" i="67" a="1"/>
  <c r="U161" i="67" a="1"/>
  <c r="C108" i="68" a="1"/>
  <c r="D110" i="67" a="1"/>
  <c r="T161" i="67" a="1"/>
  <c r="P160" i="66" a="1"/>
  <c r="C177" i="68" a="1"/>
  <c r="D121" i="68" a="1"/>
  <c r="C114" i="68" a="1"/>
  <c r="D93" i="67" a="1"/>
  <c r="D132" i="68" a="1"/>
  <c r="C184" i="68" a="1"/>
  <c r="C94" i="69" a="1"/>
  <c r="T154" i="66" a="1"/>
  <c r="C115" i="69" a="1"/>
  <c r="N154" i="66" a="1"/>
  <c r="D56" i="70" a="1"/>
  <c r="O159" i="67" a="1"/>
  <c r="D106" i="68" a="1"/>
  <c r="C143" i="68" a="1"/>
  <c r="C144" i="69" a="1"/>
  <c r="C184" i="69" a="1"/>
  <c r="C54" i="72" a="1"/>
  <c r="R159" i="67" a="1"/>
  <c r="C181" i="68" a="1"/>
  <c r="D130" i="66" a="1"/>
  <c r="D145" i="68" a="1"/>
  <c r="C150" i="67" a="1"/>
  <c r="D170" i="68" a="1"/>
  <c r="D126" i="67" a="1"/>
  <c r="D184" i="68" a="1"/>
  <c r="D147" i="68" a="1"/>
  <c r="C129" i="68" a="1"/>
  <c r="P158" i="67" a="1"/>
  <c r="C132" i="69" a="1"/>
  <c r="C146" i="69" a="1"/>
  <c r="D116" i="69" a="1"/>
  <c r="D112" i="67" a="1"/>
  <c r="C105" i="66" a="1"/>
  <c r="D101" i="66" a="1"/>
  <c r="D124" i="66" a="1"/>
  <c r="C120" i="66" a="1"/>
  <c r="D178" i="69" a="1"/>
  <c r="D105" i="66" a="1"/>
  <c r="C92" i="68" a="1"/>
  <c r="Q154" i="66" a="1"/>
  <c r="D111" i="69" a="1"/>
  <c r="U156" i="66" a="1"/>
  <c r="C139" i="66" a="1"/>
  <c r="C57" i="70" a="1"/>
  <c r="D53" i="70" a="1"/>
  <c r="D136" i="67" a="1"/>
  <c r="D95" i="69" a="1"/>
  <c r="S155" i="67" a="1"/>
  <c r="C121" i="69" a="1"/>
  <c r="C134" i="69" a="1"/>
  <c r="C144" i="68" a="1"/>
  <c r="C111" i="67" a="1"/>
  <c r="V160" i="67" a="1"/>
  <c r="M154" i="66" a="1"/>
  <c r="C138" i="68" a="1"/>
  <c r="C107" i="66" a="1"/>
  <c r="D58" i="72" a="1"/>
  <c r="C137" i="66" a="1"/>
  <c r="D144" i="66" a="1"/>
  <c r="D124" i="68" a="1"/>
  <c r="C181" i="69" a="1"/>
  <c r="D165" i="69" a="1"/>
  <c r="C106" i="69" a="1"/>
  <c r="D132" i="69" a="1"/>
  <c r="C115" i="68" a="1"/>
  <c r="C97" i="68" a="1"/>
  <c r="D141" i="66" a="1"/>
  <c r="C147" i="68" a="1"/>
  <c r="N157" i="66" a="1"/>
  <c r="D113" i="66" a="1"/>
  <c r="C161" i="68" a="1"/>
  <c r="D52" i="70" a="1"/>
  <c r="C116" i="69" a="1"/>
  <c r="D157" i="68" a="1"/>
  <c r="C131" i="67" a="1"/>
  <c r="Q155" i="67" a="1"/>
  <c r="C138" i="66" a="1"/>
  <c r="C145" i="67" a="1"/>
  <c r="D111" i="66" a="1"/>
  <c r="D141" i="69" a="1"/>
  <c r="C139" i="67" a="1"/>
  <c r="T155" i="66" a="1"/>
  <c r="Q160" i="67" a="1"/>
  <c r="C149" i="67" a="1"/>
  <c r="C129" i="66" a="1"/>
  <c r="C106" i="68" a="1"/>
  <c r="D135" i="68" a="1"/>
  <c r="C119" i="68" a="1"/>
  <c r="D140" i="67" a="1"/>
  <c r="C148" i="68" a="1"/>
  <c r="R161" i="66" a="1"/>
  <c r="O161" i="67" a="1"/>
  <c r="D118" i="66" a="1"/>
  <c r="Q158" i="67" a="1"/>
  <c r="C183" i="68" a="1"/>
  <c r="S158" i="67" a="1"/>
  <c r="D127" i="67" a="1"/>
  <c r="O156" i="67" a="1"/>
  <c r="D105" i="68" a="1"/>
  <c r="M156" i="66" a="1"/>
  <c r="D130" i="67" a="1"/>
  <c r="U161" i="66" a="1"/>
  <c r="C134" i="66" a="1"/>
  <c r="C104" i="68" a="1"/>
  <c r="D150" i="69" a="1"/>
  <c r="C101" i="67" a="1"/>
  <c r="D98" i="68" a="1"/>
  <c r="C55" i="73" a="1"/>
  <c r="D183" i="68" a="1"/>
  <c r="D138" i="68" a="1"/>
  <c r="C131" i="68" a="1"/>
  <c r="C93" i="66" a="1"/>
  <c r="C53" i="71" a="1"/>
  <c r="D109" i="68" a="1"/>
  <c r="D176" i="69" a="1"/>
  <c r="C110" i="67" a="1"/>
  <c r="O156" i="66" a="1"/>
  <c r="S159" i="67" a="1"/>
  <c r="D102" i="68" a="1"/>
  <c r="M160" i="66" a="1"/>
  <c r="C91" i="67" a="1"/>
  <c r="D185" i="68" a="1"/>
  <c r="Q157" i="67" a="1"/>
  <c r="C178" i="68" a="1"/>
  <c r="C52" i="73" a="1"/>
  <c r="C121" i="67" a="1"/>
  <c r="C92" i="69" a="1"/>
  <c r="C97" i="66" a="1"/>
  <c r="D167" i="68" a="1"/>
  <c r="C133" i="67" a="1"/>
  <c r="D117" i="66" a="1"/>
  <c r="D178" i="68" a="1"/>
  <c r="C129" i="67" a="1"/>
  <c r="C137" i="67" a="1"/>
  <c r="C114" i="66" a="1"/>
  <c r="C130" i="68" a="1"/>
  <c r="D59" i="72" a="1"/>
  <c r="D216" i="75" a="1"/>
  <c r="C125" i="67" a="1"/>
  <c r="D156" i="69" a="1"/>
  <c r="P160" i="67" a="1"/>
  <c r="D56" i="71" a="1"/>
  <c r="C148" i="67" a="1"/>
  <c r="D58" i="70" a="1"/>
  <c r="P155" i="66" a="1"/>
  <c r="D58" i="71" a="1"/>
  <c r="D145" i="67" a="1"/>
  <c r="C58" i="73" a="1"/>
  <c r="D127" i="69" a="1"/>
  <c r="D115" i="67" a="1"/>
  <c r="D115" i="66" a="1"/>
  <c r="D183" i="69" a="1"/>
  <c r="C123" i="67" a="1"/>
  <c r="P158" i="66" a="1"/>
  <c r="Q159" i="67" a="1"/>
  <c r="D167" i="69" a="1"/>
  <c r="D120" i="66" a="1"/>
  <c r="D164" i="68" a="1"/>
  <c r="C127" i="69" a="1"/>
  <c r="D130" i="68" a="1"/>
  <c r="D57" i="70" a="1"/>
  <c r="C56" i="71" a="1"/>
  <c r="D110" i="68" a="1"/>
  <c r="D157" i="69" a="1"/>
  <c r="C55" i="70" a="1"/>
  <c r="D111" i="67" a="1"/>
  <c r="M161" i="66" a="1"/>
  <c r="C147" i="69" a="1"/>
  <c r="D128" i="67" a="1"/>
  <c r="C112" i="67" a="1"/>
  <c r="D142" i="67" a="1"/>
  <c r="D179" i="69" a="1"/>
  <c r="C112" i="69" a="1"/>
  <c r="D146" i="69" a="1"/>
  <c r="D137" i="68" a="1"/>
  <c r="D139" i="67" a="1"/>
  <c r="C140" i="67" a="1"/>
  <c r="D143" i="69" a="1"/>
  <c r="D99" i="67" a="1"/>
  <c r="C137" i="69" a="1"/>
  <c r="D146" i="67" a="1"/>
  <c r="D55" i="73" a="1"/>
  <c r="R156" i="67" a="1"/>
  <c r="S161" i="67" a="1"/>
  <c r="D100" i="68" a="1"/>
  <c r="C113" i="69" a="1"/>
  <c r="N159" i="66" a="1"/>
  <c r="D57" i="71" a="1"/>
  <c r="D131" i="68" a="1"/>
  <c r="C124" i="69" a="1"/>
  <c r="C95" i="67" a="1"/>
  <c r="D138" i="66" a="1"/>
  <c r="D148" i="68" a="1"/>
  <c r="C147" i="66" a="1"/>
  <c r="C151" i="69" a="1"/>
  <c r="D125" i="67" a="1"/>
  <c r="D126" i="66" a="1"/>
  <c r="D96" i="69" a="1"/>
  <c r="C114" i="67" a="1"/>
  <c r="D63" i="59" l="1"/>
  <c r="B64" i="59"/>
  <c r="C64" i="59" s="1"/>
  <c r="D141" i="69"/>
  <c r="E141" i="69" s="1"/>
  <c r="B3" i="69" s="1"/>
  <c r="C143" i="68"/>
  <c r="E143" i="68" s="1"/>
  <c r="B72" i="68" s="1"/>
  <c r="C119" i="67"/>
  <c r="D119" i="66"/>
  <c r="D120" i="69"/>
  <c r="E120" i="69" s="1"/>
  <c r="C152" i="69"/>
  <c r="C58" i="73"/>
  <c r="D161" i="69"/>
  <c r="E161" i="69" s="1"/>
  <c r="C140" i="69"/>
  <c r="D102" i="69"/>
  <c r="E102" i="69" s="1"/>
  <c r="N160" i="67"/>
  <c r="C60" i="70"/>
  <c r="E60" i="70" s="1"/>
  <c r="D98" i="68"/>
  <c r="T155" i="67"/>
  <c r="D126" i="68"/>
  <c r="C152" i="68"/>
  <c r="E152" i="68" s="1"/>
  <c r="C101" i="68"/>
  <c r="E101" i="68" s="1"/>
  <c r="D6" i="66"/>
  <c r="G38" i="66"/>
  <c r="D38" i="66"/>
  <c r="G6" i="66"/>
  <c r="F6" i="66"/>
  <c r="E6" i="66"/>
  <c r="A25" i="67"/>
  <c r="A160" i="67" s="1"/>
  <c r="E38" i="66"/>
  <c r="A17" i="67"/>
  <c r="H85" i="66"/>
  <c r="S8" i="68"/>
  <c r="S11" i="68"/>
  <c r="S10" i="68"/>
  <c r="S12" i="68"/>
  <c r="S7" i="68"/>
  <c r="B14" i="68"/>
  <c r="S9" i="66"/>
  <c r="D167" i="68"/>
  <c r="C177" i="68"/>
  <c r="E177" i="68" s="1"/>
  <c r="D149" i="69"/>
  <c r="E149" i="69" s="1"/>
  <c r="B45" i="69" s="1"/>
  <c r="R154" i="67"/>
  <c r="T158" i="66"/>
  <c r="P160" i="67"/>
  <c r="D107" i="68"/>
  <c r="C106" i="69"/>
  <c r="C97" i="67"/>
  <c r="C154" i="68"/>
  <c r="E154" i="68" s="1"/>
  <c r="C138" i="69"/>
  <c r="R161" i="67"/>
  <c r="D118" i="66"/>
  <c r="D133" i="69"/>
  <c r="E133" i="69" s="1"/>
  <c r="D117" i="67"/>
  <c r="E117" i="67" s="1"/>
  <c r="D105" i="68"/>
  <c r="D111" i="66"/>
  <c r="M158" i="66"/>
  <c r="C128" i="66"/>
  <c r="E128" i="66" s="1"/>
  <c r="G15" i="66" s="1"/>
  <c r="C161" i="68"/>
  <c r="E161" i="68" s="1"/>
  <c r="C92" i="66"/>
  <c r="E92" i="66" s="1"/>
  <c r="C57" i="71"/>
  <c r="C56" i="71"/>
  <c r="D170" i="68"/>
  <c r="D101" i="67"/>
  <c r="E101" i="67" s="1"/>
  <c r="Q157" i="67"/>
  <c r="D216" i="74"/>
  <c r="D216" i="75"/>
  <c r="E216" i="75" s="1"/>
  <c r="B112" i="75" s="1"/>
  <c r="C93" i="66"/>
  <c r="E93" i="66" s="1"/>
  <c r="C47" i="66" s="1"/>
  <c r="C116" i="69"/>
  <c r="C183" i="68"/>
  <c r="E183" i="68" s="1"/>
  <c r="C130" i="69"/>
  <c r="D150" i="66"/>
  <c r="Q161" i="66"/>
  <c r="C142" i="69"/>
  <c r="D144" i="68"/>
  <c r="D97" i="69"/>
  <c r="E97" i="69" s="1"/>
  <c r="M159" i="67"/>
  <c r="C52" i="73"/>
  <c r="C57" i="73"/>
  <c r="D137" i="69"/>
  <c r="E137" i="69" s="1"/>
  <c r="D140" i="67"/>
  <c r="E140" i="67" s="1"/>
  <c r="D135" i="68"/>
  <c r="D112" i="67"/>
  <c r="E112" i="67" s="1"/>
  <c r="C121" i="67"/>
  <c r="S159" i="66"/>
  <c r="D141" i="67"/>
  <c r="E141" i="67" s="1"/>
  <c r="C99" i="68"/>
  <c r="E99" i="68" s="1"/>
  <c r="D176" i="69"/>
  <c r="E176" i="69" s="1"/>
  <c r="D98" i="67"/>
  <c r="E98" i="67" s="1"/>
  <c r="V154" i="67"/>
  <c r="D121" i="68"/>
  <c r="C120" i="66"/>
  <c r="E120" i="66" s="1"/>
  <c r="C107" i="69"/>
  <c r="D139" i="67"/>
  <c r="E139" i="67" s="1"/>
  <c r="D124" i="69"/>
  <c r="E124" i="69" s="1"/>
  <c r="D136" i="69"/>
  <c r="E136" i="69" s="1"/>
  <c r="D110" i="69"/>
  <c r="E110" i="69" s="1"/>
  <c r="C114" i="69"/>
  <c r="U156" i="66"/>
  <c r="C94" i="66"/>
  <c r="E94" i="66" s="1"/>
  <c r="C131" i="67"/>
  <c r="U158" i="67"/>
  <c r="C125" i="69"/>
  <c r="P158" i="66"/>
  <c r="D139" i="68"/>
  <c r="D147" i="66"/>
  <c r="C133" i="67"/>
  <c r="D91" i="69"/>
  <c r="E91" i="69" s="1"/>
  <c r="D95" i="69"/>
  <c r="E95" i="69" s="1"/>
  <c r="D130" i="69"/>
  <c r="E130" i="69" s="1"/>
  <c r="D134" i="69"/>
  <c r="C113" i="67"/>
  <c r="S154" i="66"/>
  <c r="R156" i="66"/>
  <c r="C127" i="69"/>
  <c r="C150" i="67"/>
  <c r="D178" i="69"/>
  <c r="E178" i="69" s="1"/>
  <c r="C110" i="68"/>
  <c r="E110" i="68" s="1"/>
  <c r="R159" i="66"/>
  <c r="C185" i="69"/>
  <c r="C109" i="69"/>
  <c r="T158" i="67"/>
  <c r="D95" i="67"/>
  <c r="E95" i="67" s="1"/>
  <c r="U161" i="66"/>
  <c r="M159" i="66"/>
  <c r="U159" i="66"/>
  <c r="C143" i="66"/>
  <c r="E143" i="66" s="1"/>
  <c r="D156" i="69"/>
  <c r="E156" i="69" s="1"/>
  <c r="C144" i="66"/>
  <c r="E144" i="66" s="1"/>
  <c r="C54" i="72"/>
  <c r="E54" i="72" s="1"/>
  <c r="C121" i="69"/>
  <c r="D136" i="67"/>
  <c r="E136" i="67" s="1"/>
  <c r="D55" i="72"/>
  <c r="C150" i="69"/>
  <c r="C118" i="69"/>
  <c r="C113" i="68"/>
  <c r="E113" i="68" s="1"/>
  <c r="D144" i="69"/>
  <c r="E144" i="69" s="1"/>
  <c r="C114" i="66"/>
  <c r="E114" i="66" s="1"/>
  <c r="D58" i="72"/>
  <c r="M155" i="66"/>
  <c r="V157" i="66"/>
  <c r="D107" i="66"/>
  <c r="C94" i="69"/>
  <c r="D116" i="68"/>
  <c r="D57" i="70"/>
  <c r="T161" i="66"/>
  <c r="C110" i="66"/>
  <c r="E110" i="66" s="1"/>
  <c r="D160" i="69"/>
  <c r="E160" i="69" s="1"/>
  <c r="D124" i="67"/>
  <c r="E124" i="67" s="1"/>
  <c r="D99" i="67"/>
  <c r="E99" i="67" s="1"/>
  <c r="D130" i="66"/>
  <c r="C58" i="70"/>
  <c r="E58" i="70" s="1"/>
  <c r="D133" i="66"/>
  <c r="D59" i="73"/>
  <c r="E59" i="73" s="1"/>
  <c r="C134" i="67"/>
  <c r="C104" i="68"/>
  <c r="E104" i="68" s="1"/>
  <c r="P155" i="66"/>
  <c r="C178" i="68"/>
  <c r="E178" i="68" s="1"/>
  <c r="Q159" i="67"/>
  <c r="P157" i="67"/>
  <c r="D138" i="68"/>
  <c r="C134" i="66"/>
  <c r="E134" i="66" s="1"/>
  <c r="C129" i="66"/>
  <c r="E129" i="66" s="1"/>
  <c r="C110" i="67"/>
  <c r="D183" i="69"/>
  <c r="E183" i="69" s="1"/>
  <c r="C164" i="68"/>
  <c r="E164" i="68" s="1"/>
  <c r="C115" i="69"/>
  <c r="C160" i="68"/>
  <c r="E160" i="68" s="1"/>
  <c r="D102" i="68"/>
  <c r="C116" i="66"/>
  <c r="E116" i="66" s="1"/>
  <c r="D182" i="68"/>
  <c r="C57" i="72"/>
  <c r="E57" i="72" s="1"/>
  <c r="R156" i="67"/>
  <c r="C108" i="69"/>
  <c r="C181" i="68"/>
  <c r="E181" i="68" s="1"/>
  <c r="C92" i="68"/>
  <c r="E92" i="68" s="1"/>
  <c r="C100" i="66"/>
  <c r="E100" i="66" s="1"/>
  <c r="O154" i="66"/>
  <c r="D91" i="68"/>
  <c r="C105" i="66"/>
  <c r="E105" i="66" s="1"/>
  <c r="D125" i="67"/>
  <c r="E125" i="67" s="1"/>
  <c r="C106" i="68"/>
  <c r="E106" i="68" s="1"/>
  <c r="C185" i="68"/>
  <c r="E185" i="68" s="1"/>
  <c r="C96" i="66"/>
  <c r="E96" i="66" s="1"/>
  <c r="D173" i="68"/>
  <c r="C108" i="66"/>
  <c r="E108" i="66" s="1"/>
  <c r="D58" i="71"/>
  <c r="E58" i="71" s="1"/>
  <c r="N154" i="66"/>
  <c r="D104" i="68"/>
  <c r="D93" i="66"/>
  <c r="D120" i="66"/>
  <c r="M156" i="66"/>
  <c r="C156" i="66" s="1"/>
  <c r="R157" i="66"/>
  <c r="D116" i="69"/>
  <c r="E116" i="69" s="1"/>
  <c r="N157" i="66"/>
  <c r="D127" i="69"/>
  <c r="E127" i="69" s="1"/>
  <c r="D108" i="69"/>
  <c r="E108" i="69" s="1"/>
  <c r="D183" i="68"/>
  <c r="C139" i="67"/>
  <c r="C107" i="66"/>
  <c r="E107" i="66" s="1"/>
  <c r="D181" i="68"/>
  <c r="D52" i="70"/>
  <c r="C124" i="69"/>
  <c r="C178" i="69"/>
  <c r="U157" i="67"/>
  <c r="N159" i="66"/>
  <c r="C176" i="69"/>
  <c r="S158" i="66"/>
  <c r="D100" i="66"/>
  <c r="T160" i="66"/>
  <c r="C110" i="69"/>
  <c r="C57" i="70"/>
  <c r="E57" i="70" s="1"/>
  <c r="D134" i="66"/>
  <c r="C129" i="69"/>
  <c r="C134" i="69"/>
  <c r="D96" i="69"/>
  <c r="E96" i="69" s="1"/>
  <c r="C94" i="67"/>
  <c r="C91" i="69"/>
  <c r="P156" i="66"/>
  <c r="F156" i="66" s="1"/>
  <c r="Q154" i="67"/>
  <c r="D110" i="67"/>
  <c r="E110" i="67" s="1"/>
  <c r="C97" i="69"/>
  <c r="D94" i="66"/>
  <c r="C160" i="69"/>
  <c r="C125" i="67"/>
  <c r="R159" i="67"/>
  <c r="D131" i="67"/>
  <c r="C55" i="71"/>
  <c r="C54" i="73"/>
  <c r="D57" i="71"/>
  <c r="E57" i="71" s="1"/>
  <c r="S157" i="66"/>
  <c r="C99" i="67"/>
  <c r="D185" i="68"/>
  <c r="D57" i="73"/>
  <c r="E57" i="73" s="1"/>
  <c r="D125" i="69"/>
  <c r="E125" i="69" s="1"/>
  <c r="C91" i="67"/>
  <c r="D160" i="68"/>
  <c r="D56" i="71"/>
  <c r="E56" i="71" s="1"/>
  <c r="U158" i="66"/>
  <c r="D58" i="70"/>
  <c r="U159" i="67"/>
  <c r="C170" i="68"/>
  <c r="E170" i="68" s="1"/>
  <c r="C144" i="69"/>
  <c r="D143" i="66"/>
  <c r="D127" i="68"/>
  <c r="C135" i="68"/>
  <c r="E135" i="68" s="1"/>
  <c r="B9" i="68" s="1"/>
  <c r="C147" i="66"/>
  <c r="E147" i="66" s="1"/>
  <c r="C59" i="73"/>
  <c r="C58" i="71"/>
  <c r="C112" i="67"/>
  <c r="D114" i="66"/>
  <c r="D144" i="66"/>
  <c r="C58" i="72"/>
  <c r="E58" i="72" s="1"/>
  <c r="D57" i="72"/>
  <c r="M155" i="67"/>
  <c r="Q156" i="67"/>
  <c r="R155" i="66"/>
  <c r="D108" i="66"/>
  <c r="D129" i="67"/>
  <c r="E129" i="67" s="1"/>
  <c r="D107" i="69"/>
  <c r="E107" i="69" s="1"/>
  <c r="D142" i="67"/>
  <c r="E142" i="67" s="1"/>
  <c r="C99" i="66"/>
  <c r="E99" i="66" s="1"/>
  <c r="C17" i="66" s="1"/>
  <c r="C130" i="68"/>
  <c r="E130" i="68" s="1"/>
  <c r="C123" i="67"/>
  <c r="D122" i="68"/>
  <c r="D115" i="67"/>
  <c r="E115" i="67" s="1"/>
  <c r="D98" i="66"/>
  <c r="C59" i="70"/>
  <c r="E59" i="70" s="1"/>
  <c r="D94" i="69"/>
  <c r="E94" i="69" s="1"/>
  <c r="D92" i="68"/>
  <c r="C150" i="66"/>
  <c r="E150" i="66" s="1"/>
  <c r="D97" i="66"/>
  <c r="D146" i="67"/>
  <c r="E146" i="67" s="1"/>
  <c r="T157" i="67"/>
  <c r="V161" i="66"/>
  <c r="C141" i="68"/>
  <c r="E141" i="68" s="1"/>
  <c r="B3" i="68" s="1"/>
  <c r="D127" i="67"/>
  <c r="E127" i="67" s="1"/>
  <c r="T154" i="66"/>
  <c r="D142" i="69"/>
  <c r="E142" i="69" s="1"/>
  <c r="D114" i="69"/>
  <c r="E114" i="69" s="1"/>
  <c r="O161" i="66"/>
  <c r="C92" i="69"/>
  <c r="C144" i="68"/>
  <c r="E144" i="68" s="1"/>
  <c r="D95" i="66"/>
  <c r="D139" i="69"/>
  <c r="E139" i="69" s="1"/>
  <c r="B6" i="69" s="1"/>
  <c r="M156" i="67"/>
  <c r="C148" i="66"/>
  <c r="E148" i="66" s="1"/>
  <c r="C142" i="66"/>
  <c r="E142" i="66" s="1"/>
  <c r="D173" i="69"/>
  <c r="E173" i="69" s="1"/>
  <c r="D126" i="66"/>
  <c r="D113" i="66"/>
  <c r="D144" i="67"/>
  <c r="E144" i="67" s="1"/>
  <c r="C124" i="67"/>
  <c r="D106" i="68"/>
  <c r="D52" i="73"/>
  <c r="E52" i="73" s="1"/>
  <c r="P158" i="67"/>
  <c r="D132" i="67"/>
  <c r="E132" i="67" s="1"/>
  <c r="I35" i="67" s="1"/>
  <c r="I37" i="67" s="1"/>
  <c r="C166" i="69"/>
  <c r="S155" i="67"/>
  <c r="C111" i="67"/>
  <c r="C130" i="66"/>
  <c r="E130" i="66" s="1"/>
  <c r="D96" i="66"/>
  <c r="C137" i="69"/>
  <c r="C129" i="68"/>
  <c r="E129" i="68" s="1"/>
  <c r="D145" i="67"/>
  <c r="E145" i="67" s="1"/>
  <c r="D165" i="69"/>
  <c r="E165" i="69" s="1"/>
  <c r="C140" i="67"/>
  <c r="C139" i="68"/>
  <c r="E139" i="68" s="1"/>
  <c r="B6" i="68" s="1"/>
  <c r="V3" i="68" s="1"/>
  <c r="C133" i="66"/>
  <c r="E133" i="66" s="1"/>
  <c r="C56" i="72"/>
  <c r="E56" i="72" s="1"/>
  <c r="D147" i="67"/>
  <c r="E147" i="67" s="1"/>
  <c r="C59" i="72"/>
  <c r="E59" i="72" s="1"/>
  <c r="D145" i="66"/>
  <c r="D146" i="69"/>
  <c r="V160" i="67"/>
  <c r="D133" i="67"/>
  <c r="E133" i="67" s="1"/>
  <c r="D134" i="67"/>
  <c r="E134" i="67" s="1"/>
  <c r="D141" i="66"/>
  <c r="M161" i="66"/>
  <c r="C157" i="68"/>
  <c r="E157" i="68" s="1"/>
  <c r="C56" i="70"/>
  <c r="E56" i="70" s="1"/>
  <c r="V156" i="67"/>
  <c r="C132" i="69"/>
  <c r="C148" i="68"/>
  <c r="E148" i="68" s="1"/>
  <c r="B47" i="68" s="1"/>
  <c r="C129" i="67"/>
  <c r="D179" i="69"/>
  <c r="E179" i="69" s="1"/>
  <c r="C142" i="67"/>
  <c r="D99" i="66"/>
  <c r="D130" i="68"/>
  <c r="D123" i="67"/>
  <c r="E123" i="67" s="1"/>
  <c r="D104" i="67"/>
  <c r="E104" i="67" s="1"/>
  <c r="D132" i="68"/>
  <c r="D59" i="70"/>
  <c r="C53" i="71"/>
  <c r="C60" i="63"/>
  <c r="C143" i="69"/>
  <c r="N161" i="67"/>
  <c r="C97" i="66"/>
  <c r="E97" i="66" s="1"/>
  <c r="C128" i="69"/>
  <c r="O157" i="67"/>
  <c r="D138" i="66"/>
  <c r="D141" i="68"/>
  <c r="C127" i="67"/>
  <c r="Q155" i="67"/>
  <c r="C120" i="67"/>
  <c r="C148" i="67"/>
  <c r="S154" i="67"/>
  <c r="V158" i="66"/>
  <c r="D130" i="67"/>
  <c r="E130" i="67" s="1"/>
  <c r="C147" i="68"/>
  <c r="E147" i="68" s="1"/>
  <c r="B44" i="68" s="1"/>
  <c r="C139" i="69"/>
  <c r="M157" i="66"/>
  <c r="D148" i="66"/>
  <c r="D142" i="66"/>
  <c r="C173" i="69"/>
  <c r="C126" i="66"/>
  <c r="E126" i="66" s="1"/>
  <c r="C113" i="66"/>
  <c r="E113" i="66" s="1"/>
  <c r="C144" i="67"/>
  <c r="C156" i="68"/>
  <c r="E156" i="68" s="1"/>
  <c r="C184" i="69"/>
  <c r="C101" i="69"/>
  <c r="D117" i="66"/>
  <c r="C132" i="67"/>
  <c r="D166" i="69"/>
  <c r="E166" i="69" s="1"/>
  <c r="N155" i="67"/>
  <c r="D111" i="67"/>
  <c r="E111" i="67" s="1"/>
  <c r="D55" i="70"/>
  <c r="C184" i="68"/>
  <c r="E184" i="68" s="1"/>
  <c r="C53" i="70"/>
  <c r="E53" i="70" s="1"/>
  <c r="D129" i="68"/>
  <c r="C145" i="67"/>
  <c r="D180" i="68"/>
  <c r="D109" i="68"/>
  <c r="P155" i="67"/>
  <c r="C131" i="68"/>
  <c r="E131" i="68" s="1"/>
  <c r="C165" i="69"/>
  <c r="C147" i="67"/>
  <c r="D59" i="72"/>
  <c r="C145" i="66"/>
  <c r="E145" i="66" s="1"/>
  <c r="C146" i="69"/>
  <c r="D157" i="69"/>
  <c r="E157" i="69" s="1"/>
  <c r="C134" i="68"/>
  <c r="D180" i="69"/>
  <c r="E180" i="69" s="1"/>
  <c r="C141" i="66"/>
  <c r="E141" i="66" s="1"/>
  <c r="R161" i="66"/>
  <c r="D157" i="68"/>
  <c r="D56" i="70"/>
  <c r="D112" i="66"/>
  <c r="D132" i="69"/>
  <c r="E132" i="69" s="1"/>
  <c r="C114" i="68"/>
  <c r="E114" i="68" s="1"/>
  <c r="C151" i="68"/>
  <c r="E151" i="68" s="1"/>
  <c r="C132" i="66"/>
  <c r="E132" i="66" s="1"/>
  <c r="I35" i="66" s="1"/>
  <c r="I37" i="66" s="1"/>
  <c r="D137" i="68"/>
  <c r="Q154" i="66"/>
  <c r="D126" i="69"/>
  <c r="E126" i="69" s="1"/>
  <c r="P160" i="66"/>
  <c r="R154" i="66"/>
  <c r="C132" i="68"/>
  <c r="E132" i="68" s="1"/>
  <c r="D100" i="68"/>
  <c r="D53" i="71"/>
  <c r="E53" i="71" s="1"/>
  <c r="A30" i="71" s="1"/>
  <c r="D60" i="63"/>
  <c r="D143" i="69"/>
  <c r="E143" i="69" s="1"/>
  <c r="B72" i="69" s="1"/>
  <c r="S161" i="67"/>
  <c r="D101" i="66"/>
  <c r="C151" i="69"/>
  <c r="O156" i="67"/>
  <c r="C138" i="66"/>
  <c r="E138" i="66" s="1"/>
  <c r="C111" i="69"/>
  <c r="D116" i="67"/>
  <c r="E116" i="67" s="1"/>
  <c r="V155" i="67"/>
  <c r="D120" i="67"/>
  <c r="E120" i="67" s="1"/>
  <c r="D148" i="67"/>
  <c r="E148" i="67" s="1"/>
  <c r="N154" i="67"/>
  <c r="C108" i="68"/>
  <c r="E108" i="68" s="1"/>
  <c r="S156" i="66"/>
  <c r="D147" i="68"/>
  <c r="T155" i="66"/>
  <c r="C149" i="66"/>
  <c r="E149" i="66" s="1"/>
  <c r="C181" i="69"/>
  <c r="U161" i="67"/>
  <c r="C138" i="67"/>
  <c r="C128" i="67"/>
  <c r="C150" i="68"/>
  <c r="E150" i="68" s="1"/>
  <c r="D93" i="67"/>
  <c r="E93" i="67" s="1"/>
  <c r="C47" i="67" s="1"/>
  <c r="O156" i="66"/>
  <c r="E156" i="66" s="1"/>
  <c r="D184" i="69"/>
  <c r="E184" i="69" s="1"/>
  <c r="C128" i="68"/>
  <c r="E128" i="68" s="1"/>
  <c r="C117" i="66"/>
  <c r="E117" i="66" s="1"/>
  <c r="C115" i="68"/>
  <c r="E115" i="68" s="1"/>
  <c r="C118" i="67"/>
  <c r="D95" i="68"/>
  <c r="C122" i="66"/>
  <c r="E122" i="66" s="1"/>
  <c r="A18" i="66" s="1"/>
  <c r="C55" i="70"/>
  <c r="E55" i="70" s="1"/>
  <c r="D184" i="68"/>
  <c r="D53" i="70"/>
  <c r="C145" i="68"/>
  <c r="E145" i="68" s="1"/>
  <c r="C55" i="73"/>
  <c r="Q158" i="67"/>
  <c r="D117" i="69"/>
  <c r="E117" i="69" s="1"/>
  <c r="U155" i="67"/>
  <c r="D131" i="68"/>
  <c r="C119" i="68"/>
  <c r="E119" i="68" s="1"/>
  <c r="B36" i="68" s="1"/>
  <c r="C124" i="68"/>
  <c r="E124" i="68" s="1"/>
  <c r="C96" i="67"/>
  <c r="D131" i="66"/>
  <c r="D170" i="69"/>
  <c r="E170" i="69" s="1"/>
  <c r="C157" i="69"/>
  <c r="D134" i="68"/>
  <c r="C180" i="69"/>
  <c r="D139" i="66"/>
  <c r="C149" i="67"/>
  <c r="D97" i="68"/>
  <c r="D179" i="68"/>
  <c r="C125" i="66"/>
  <c r="E125" i="66" s="1"/>
  <c r="C106" i="67"/>
  <c r="D114" i="68"/>
  <c r="D113" i="69"/>
  <c r="E113" i="69" s="1"/>
  <c r="D132" i="66"/>
  <c r="C137" i="68"/>
  <c r="E137" i="68" s="1"/>
  <c r="V154" i="66"/>
  <c r="S158" i="67"/>
  <c r="U160" i="66"/>
  <c r="M154" i="66"/>
  <c r="C126" i="67"/>
  <c r="N156" i="67"/>
  <c r="O159" i="67"/>
  <c r="R160" i="66"/>
  <c r="D122" i="69"/>
  <c r="E122" i="69" s="1"/>
  <c r="C115" i="66"/>
  <c r="E115" i="66" s="1"/>
  <c r="D105" i="69"/>
  <c r="E105" i="69" s="1"/>
  <c r="S159" i="67"/>
  <c r="T156" i="67"/>
  <c r="D148" i="68"/>
  <c r="D111" i="69"/>
  <c r="E111" i="69" s="1"/>
  <c r="D147" i="69"/>
  <c r="E147" i="69" s="1"/>
  <c r="B44" i="69" s="1"/>
  <c r="U156" i="67"/>
  <c r="D165" i="68"/>
  <c r="D100" i="67"/>
  <c r="E100" i="67" s="1"/>
  <c r="C143" i="67"/>
  <c r="D108" i="68"/>
  <c r="N156" i="66"/>
  <c r="D156" i="66" s="1"/>
  <c r="D124" i="66"/>
  <c r="C177" i="69"/>
  <c r="D149" i="66"/>
  <c r="D181" i="69"/>
  <c r="E181" i="69" s="1"/>
  <c r="P161" i="67"/>
  <c r="D138" i="67"/>
  <c r="E138" i="67" s="1"/>
  <c r="D128" i="67"/>
  <c r="E128" i="67" s="1"/>
  <c r="D150" i="68"/>
  <c r="C93" i="67"/>
  <c r="T156" i="66"/>
  <c r="D114" i="67"/>
  <c r="E114" i="67" s="1"/>
  <c r="Q160" i="67"/>
  <c r="U154" i="67"/>
  <c r="D115" i="68"/>
  <c r="D118" i="67"/>
  <c r="E118" i="67" s="1"/>
  <c r="C95" i="68"/>
  <c r="E95" i="68" s="1"/>
  <c r="C52" i="72"/>
  <c r="E52" i="72" s="1"/>
  <c r="C104" i="66"/>
  <c r="E104" i="66" s="1"/>
  <c r="D137" i="67"/>
  <c r="E137" i="67" s="1"/>
  <c r="D117" i="68"/>
  <c r="D145" i="68"/>
  <c r="D55" i="73"/>
  <c r="E55" i="73" s="1"/>
  <c r="V158" i="67"/>
  <c r="D167" i="69"/>
  <c r="E167" i="69" s="1"/>
  <c r="D106" i="66"/>
  <c r="C54" i="70"/>
  <c r="E54" i="70" s="1"/>
  <c r="D119" i="68"/>
  <c r="D124" i="68"/>
  <c r="D96" i="67"/>
  <c r="E96" i="67" s="1"/>
  <c r="C131" i="66"/>
  <c r="C170" i="69"/>
  <c r="O161" i="67"/>
  <c r="C100" i="69"/>
  <c r="C139" i="66"/>
  <c r="E139" i="66" s="1"/>
  <c r="V156" i="66"/>
  <c r="C97" i="68"/>
  <c r="E97" i="68" s="1"/>
  <c r="C112" i="69"/>
  <c r="D125" i="66"/>
  <c r="D106" i="67"/>
  <c r="E106" i="67" s="1"/>
  <c r="C30" i="67" s="1"/>
  <c r="C111" i="66"/>
  <c r="E111" i="66" s="1"/>
  <c r="C113" i="69"/>
  <c r="C154" i="69"/>
  <c r="D178" i="68"/>
  <c r="D92" i="67"/>
  <c r="E92" i="67" s="1"/>
  <c r="C136" i="67"/>
  <c r="D150" i="67"/>
  <c r="E150" i="67" s="1"/>
  <c r="C137" i="66"/>
  <c r="E137" i="66" s="1"/>
  <c r="D126" i="67"/>
  <c r="E126" i="67" s="1"/>
  <c r="D54" i="73"/>
  <c r="E54" i="73" s="1"/>
  <c r="T159" i="67"/>
  <c r="M160" i="66"/>
  <c r="C122" i="69"/>
  <c r="D115" i="66"/>
  <c r="D110" i="68"/>
  <c r="C138" i="68"/>
  <c r="E138" i="68" s="1"/>
  <c r="B10" i="68" s="1"/>
  <c r="D105" i="66"/>
  <c r="C55" i="72"/>
  <c r="E55" i="72" s="1"/>
  <c r="D128" i="66"/>
  <c r="C147" i="69"/>
  <c r="D161" i="68"/>
  <c r="C165" i="68"/>
  <c r="E165" i="68" s="1"/>
  <c r="C100" i="67"/>
  <c r="D129" i="66"/>
  <c r="D56" i="73"/>
  <c r="E56" i="73" s="1"/>
  <c r="D150" i="69"/>
  <c r="E150" i="69" s="1"/>
  <c r="C99" i="69"/>
  <c r="D177" i="69"/>
  <c r="E177" i="69" s="1"/>
  <c r="D92" i="66"/>
  <c r="C98" i="67"/>
  <c r="O158" i="67"/>
  <c r="C183" i="69"/>
  <c r="D121" i="69"/>
  <c r="E121" i="69" s="1"/>
  <c r="D118" i="69"/>
  <c r="E118" i="69" s="1"/>
  <c r="C95" i="67"/>
  <c r="D164" i="68"/>
  <c r="C114" i="67"/>
  <c r="C148" i="69"/>
  <c r="P154" i="67"/>
  <c r="D115" i="69"/>
  <c r="E115" i="69" s="1"/>
  <c r="C141" i="67"/>
  <c r="D113" i="67"/>
  <c r="E113" i="67" s="1"/>
  <c r="D109" i="69"/>
  <c r="E109" i="69" s="1"/>
  <c r="D104" i="66"/>
  <c r="C137" i="67"/>
  <c r="D113" i="68"/>
  <c r="P159" i="66"/>
  <c r="C102" i="68"/>
  <c r="E102" i="68" s="1"/>
  <c r="D122" i="66"/>
  <c r="C167" i="69"/>
  <c r="C106" i="66"/>
  <c r="E106" i="66" s="1"/>
  <c r="C30" i="66" s="1"/>
  <c r="D54" i="70"/>
  <c r="C101" i="67"/>
  <c r="C121" i="68"/>
  <c r="E121" i="68" s="1"/>
  <c r="C156" i="69"/>
  <c r="C182" i="68"/>
  <c r="E182" i="68" s="1"/>
  <c r="V157" i="67"/>
  <c r="T161" i="67"/>
  <c r="D100" i="69"/>
  <c r="E100" i="69" s="1"/>
  <c r="A17" i="66"/>
  <c r="A25" i="66"/>
  <c r="A160" i="66" s="1"/>
  <c r="A21" i="66"/>
  <c r="A156" i="66" s="1"/>
  <c r="B16" i="68"/>
  <c r="B49" i="68"/>
  <c r="A23" i="66"/>
  <c r="A158" i="66" s="1"/>
  <c r="A19" i="66"/>
  <c r="A154" i="66" s="1"/>
  <c r="A15" i="66"/>
  <c r="S4" i="66"/>
  <c r="S49" i="66"/>
  <c r="G10" i="66"/>
  <c r="S11" i="66"/>
  <c r="S34" i="66"/>
  <c r="S6" i="66"/>
  <c r="S35" i="66"/>
  <c r="S30" i="66"/>
  <c r="S38" i="66"/>
  <c r="S42" i="66"/>
  <c r="S47" i="66"/>
  <c r="S50" i="66"/>
  <c r="S46" i="66"/>
  <c r="S24" i="66"/>
  <c r="S7" i="66"/>
  <c r="S17" i="66"/>
  <c r="S25" i="66"/>
  <c r="E10" i="66"/>
  <c r="S14" i="66"/>
  <c r="S51" i="66"/>
  <c r="F10" i="66"/>
  <c r="S39" i="66"/>
  <c r="S10" i="66"/>
  <c r="S28" i="66"/>
  <c r="S20" i="66"/>
  <c r="S29" i="66"/>
  <c r="S45" i="66"/>
  <c r="S22" i="66"/>
  <c r="S37" i="66"/>
  <c r="S19" i="66"/>
  <c r="S16" i="66"/>
  <c r="S15" i="66"/>
  <c r="S31" i="66"/>
  <c r="S36" i="66"/>
  <c r="D10" i="66"/>
  <c r="S44" i="66"/>
  <c r="S8" i="66"/>
  <c r="S13" i="66"/>
  <c r="S21" i="66"/>
  <c r="S18" i="66"/>
  <c r="S5" i="66"/>
  <c r="S43" i="66"/>
  <c r="S32" i="66"/>
  <c r="S48" i="66"/>
  <c r="S23" i="66"/>
  <c r="S40" i="66"/>
  <c r="S12" i="66"/>
  <c r="S27" i="66"/>
  <c r="S41" i="66"/>
  <c r="C10" i="66"/>
  <c r="S33" i="66"/>
  <c r="B160" i="66"/>
  <c r="G156" i="66"/>
  <c r="A9" i="68"/>
  <c r="B15" i="68"/>
  <c r="A19" i="67"/>
  <c r="A154" i="67" s="1"/>
  <c r="A15" i="67"/>
  <c r="A23" i="67"/>
  <c r="A158" i="67" s="1"/>
  <c r="B4" i="68"/>
  <c r="B48" i="68"/>
  <c r="C14" i="66"/>
  <c r="C3" i="66"/>
  <c r="A18" i="67"/>
  <c r="A26" i="67"/>
  <c r="A161" i="67" s="1"/>
  <c r="A22" i="67"/>
  <c r="A157" i="67" s="1"/>
  <c r="O17" i="66"/>
  <c r="E56" i="62"/>
  <c r="E54" i="62"/>
  <c r="E52" i="62"/>
  <c r="E55" i="62"/>
  <c r="E53" i="62"/>
  <c r="A58" i="63"/>
  <c r="A59" i="63"/>
  <c r="B53" i="63"/>
  <c r="C216" i="75" a="1"/>
  <c r="D159" i="68" a="1"/>
  <c r="D159" i="69" a="1"/>
  <c r="C216" i="74" a="1"/>
  <c r="C207" i="74" a="1"/>
  <c r="C207" i="75" a="1"/>
  <c r="D64" i="59" l="1"/>
  <c r="E64" i="59" s="1"/>
  <c r="B33" i="59" s="1"/>
  <c r="C15" i="66"/>
  <c r="E15" i="66"/>
  <c r="B154" i="66"/>
  <c r="E154" i="66" s="1"/>
  <c r="F19" i="66" s="1"/>
  <c r="D15" i="66"/>
  <c r="F15" i="66"/>
  <c r="V4" i="68"/>
  <c r="C48" i="66"/>
  <c r="C49" i="66" s="1"/>
  <c r="G39" i="66"/>
  <c r="D37" i="67"/>
  <c r="W11" i="67"/>
  <c r="U7" i="68"/>
  <c r="A8" i="71"/>
  <c r="F37" i="67"/>
  <c r="G37" i="67"/>
  <c r="C207" i="75"/>
  <c r="C207" i="74"/>
  <c r="E207" i="74" s="1"/>
  <c r="B111" i="74" s="1"/>
  <c r="E37" i="67"/>
  <c r="W4" i="66"/>
  <c r="A6" i="71"/>
  <c r="W31" i="67"/>
  <c r="A14" i="71"/>
  <c r="B17" i="68"/>
  <c r="A20" i="71"/>
  <c r="A10" i="71"/>
  <c r="A22" i="66"/>
  <c r="A157" i="66" s="1"/>
  <c r="A27" i="71"/>
  <c r="A23" i="71"/>
  <c r="A11" i="71"/>
  <c r="A21" i="71"/>
  <c r="A19" i="71"/>
  <c r="A26" i="70"/>
  <c r="A26" i="71"/>
  <c r="A9" i="70"/>
  <c r="A30" i="70"/>
  <c r="A17" i="71"/>
  <c r="A6" i="70"/>
  <c r="A25" i="70"/>
  <c r="A28" i="71"/>
  <c r="A25" i="71"/>
  <c r="A29" i="71"/>
  <c r="E1" i="71"/>
  <c r="A3" i="71"/>
  <c r="A21" i="70"/>
  <c r="A17" i="70"/>
  <c r="A12" i="71"/>
  <c r="A13" i="71"/>
  <c r="A18" i="71"/>
  <c r="W17" i="67"/>
  <c r="A28" i="70"/>
  <c r="A22" i="70"/>
  <c r="W13" i="67"/>
  <c r="F39" i="66"/>
  <c r="W8" i="67"/>
  <c r="E1" i="70"/>
  <c r="D17" i="66"/>
  <c r="W11" i="66"/>
  <c r="V12" i="68"/>
  <c r="U3" i="68"/>
  <c r="W16" i="66"/>
  <c r="W13" i="66"/>
  <c r="W6" i="66"/>
  <c r="W14" i="66"/>
  <c r="W15" i="66"/>
  <c r="W5" i="66"/>
  <c r="W12" i="66"/>
  <c r="W9" i="66"/>
  <c r="V9" i="68"/>
  <c r="D39" i="66"/>
  <c r="W7" i="66"/>
  <c r="W8" i="66"/>
  <c r="V11" i="68"/>
  <c r="E39" i="66"/>
  <c r="A26" i="66"/>
  <c r="A161" i="66" s="1"/>
  <c r="A5" i="70"/>
  <c r="A4" i="70"/>
  <c r="V5" i="68"/>
  <c r="B51" i="68"/>
  <c r="W19" i="67"/>
  <c r="C28" i="67"/>
  <c r="B33" i="67" s="1"/>
  <c r="C28" i="66"/>
  <c r="A8" i="70"/>
  <c r="W25" i="67"/>
  <c r="W30" i="67"/>
  <c r="E39" i="67"/>
  <c r="W21" i="67"/>
  <c r="W16" i="67"/>
  <c r="W20" i="67"/>
  <c r="D39" i="67"/>
  <c r="W29" i="67"/>
  <c r="W7" i="67"/>
  <c r="G39" i="67"/>
  <c r="W23" i="67"/>
  <c r="W9" i="67"/>
  <c r="C48" i="67"/>
  <c r="C49" i="67" s="1"/>
  <c r="F39" i="67"/>
  <c r="W27" i="67"/>
  <c r="W28" i="67"/>
  <c r="W6" i="67"/>
  <c r="W22" i="67"/>
  <c r="U6" i="68"/>
  <c r="W14" i="67"/>
  <c r="W4" i="67"/>
  <c r="W26" i="67"/>
  <c r="W15" i="67"/>
  <c r="W12" i="67"/>
  <c r="W18" i="67"/>
  <c r="W10" i="67"/>
  <c r="W5" i="67"/>
  <c r="W24" i="67"/>
  <c r="A32" i="70"/>
  <c r="D159" i="69"/>
  <c r="E159" i="69" s="1"/>
  <c r="D159" i="68"/>
  <c r="C216" i="74"/>
  <c r="E216" i="74" s="1"/>
  <c r="B112" i="74" s="1"/>
  <c r="C216" i="75"/>
  <c r="D1" i="73"/>
  <c r="A14" i="73"/>
  <c r="I3" i="67"/>
  <c r="B15" i="67"/>
  <c r="F17" i="66"/>
  <c r="E17" i="66"/>
  <c r="G17" i="66"/>
  <c r="A6" i="73"/>
  <c r="A7" i="73"/>
  <c r="A5" i="73"/>
  <c r="A8" i="73"/>
  <c r="A15" i="73"/>
  <c r="G18" i="67"/>
  <c r="C18" i="67"/>
  <c r="B157" i="67"/>
  <c r="E18" i="67"/>
  <c r="F18" i="67"/>
  <c r="D18" i="67"/>
  <c r="C18" i="66"/>
  <c r="B157" i="66"/>
  <c r="E18" i="66"/>
  <c r="D18" i="66"/>
  <c r="F18" i="66"/>
  <c r="G18" i="66"/>
  <c r="B7" i="69"/>
  <c r="B8" i="69"/>
  <c r="B12" i="69" s="1"/>
  <c r="F17" i="67"/>
  <c r="B156" i="67"/>
  <c r="D17" i="67"/>
  <c r="G17" i="67"/>
  <c r="E17" i="67"/>
  <c r="C17" i="67"/>
  <c r="U4" i="69"/>
  <c r="V7" i="69"/>
  <c r="U8" i="69"/>
  <c r="U12" i="69"/>
  <c r="V10" i="69"/>
  <c r="V6" i="69"/>
  <c r="U3" i="69"/>
  <c r="U6" i="69"/>
  <c r="V9" i="69"/>
  <c r="U10" i="69"/>
  <c r="U5" i="69"/>
  <c r="V12" i="69"/>
  <c r="V3" i="69"/>
  <c r="V4" i="69"/>
  <c r="U11" i="69"/>
  <c r="V5" i="69"/>
  <c r="V11" i="69"/>
  <c r="V8" i="69"/>
  <c r="U9" i="69"/>
  <c r="A4" i="73"/>
  <c r="A9" i="73"/>
  <c r="A11" i="73"/>
  <c r="A9" i="69"/>
  <c r="B15" i="69"/>
  <c r="B8" i="68"/>
  <c r="B12" i="68" s="1"/>
  <c r="V6" i="68"/>
  <c r="U9" i="68"/>
  <c r="U5" i="68"/>
  <c r="V7" i="68"/>
  <c r="U8" i="68"/>
  <c r="U11" i="68"/>
  <c r="U12" i="68"/>
  <c r="U10" i="68"/>
  <c r="U4" i="68"/>
  <c r="B7" i="68"/>
  <c r="V8" i="68"/>
  <c r="V10" i="68"/>
  <c r="F37" i="66"/>
  <c r="G37" i="66"/>
  <c r="D37" i="66"/>
  <c r="E37" i="66"/>
  <c r="A20" i="66"/>
  <c r="A155" i="66" s="1"/>
  <c r="G21" i="66" s="1"/>
  <c r="A16" i="66"/>
  <c r="A24" i="66"/>
  <c r="A159" i="66" s="1"/>
  <c r="A13" i="73"/>
  <c r="A11" i="70"/>
  <c r="A12" i="70"/>
  <c r="A29" i="70"/>
  <c r="A20" i="70"/>
  <c r="A10" i="70"/>
  <c r="A27" i="70"/>
  <c r="A3" i="70"/>
  <c r="A24" i="70"/>
  <c r="A15" i="70"/>
  <c r="A16" i="70"/>
  <c r="A13" i="70"/>
  <c r="A23" i="70"/>
  <c r="A14" i="70"/>
  <c r="A19" i="70"/>
  <c r="A18" i="70"/>
  <c r="A7" i="70"/>
  <c r="A20" i="67"/>
  <c r="A16" i="67"/>
  <c r="A24" i="67"/>
  <c r="A159" i="67" s="1"/>
  <c r="B48" i="69"/>
  <c r="B4" i="69"/>
  <c r="C16" i="67"/>
  <c r="D16" i="67"/>
  <c r="B155" i="67"/>
  <c r="G16" i="67"/>
  <c r="F16" i="67"/>
  <c r="E16" i="67"/>
  <c r="B49" i="69"/>
  <c r="B16" i="69"/>
  <c r="E16" i="66"/>
  <c r="G16" i="66"/>
  <c r="B155" i="66"/>
  <c r="F16" i="66"/>
  <c r="D16" i="66"/>
  <c r="C16" i="66"/>
  <c r="W10" i="66"/>
  <c r="S5" i="67"/>
  <c r="E10" i="67"/>
  <c r="C10" i="67"/>
  <c r="S7" i="67"/>
  <c r="S10" i="67"/>
  <c r="S33" i="67"/>
  <c r="S19" i="67"/>
  <c r="S29" i="67"/>
  <c r="S37" i="67"/>
  <c r="S27" i="67"/>
  <c r="S48" i="67"/>
  <c r="S51" i="67"/>
  <c r="S14" i="67"/>
  <c r="S38" i="67"/>
  <c r="S8" i="67"/>
  <c r="S26" i="67"/>
  <c r="S32" i="67"/>
  <c r="S9" i="67"/>
  <c r="S43" i="67"/>
  <c r="G10" i="67"/>
  <c r="S16" i="67"/>
  <c r="S34" i="67"/>
  <c r="S13" i="67"/>
  <c r="S12" i="67"/>
  <c r="S50" i="67"/>
  <c r="S23" i="67"/>
  <c r="S4" i="67"/>
  <c r="S42" i="67"/>
  <c r="S6" i="67"/>
  <c r="S39" i="67"/>
  <c r="S15" i="67"/>
  <c r="S25" i="67"/>
  <c r="S45" i="67"/>
  <c r="F10" i="67"/>
  <c r="S40" i="67"/>
  <c r="S36" i="67"/>
  <c r="S31" i="67"/>
  <c r="S28" i="67"/>
  <c r="S46" i="67"/>
  <c r="S47" i="67"/>
  <c r="S18" i="67"/>
  <c r="D10" i="67"/>
  <c r="S11" i="67"/>
  <c r="S35" i="67"/>
  <c r="S21" i="67"/>
  <c r="S49" i="67"/>
  <c r="S44" i="67"/>
  <c r="S22" i="67"/>
  <c r="S24" i="67"/>
  <c r="S17" i="67"/>
  <c r="S41" i="67"/>
  <c r="S30" i="67"/>
  <c r="S20" i="67"/>
  <c r="A10" i="73"/>
  <c r="A12" i="73"/>
  <c r="A5" i="72"/>
  <c r="A6" i="72"/>
  <c r="A11" i="72"/>
  <c r="A7" i="72"/>
  <c r="A13" i="72"/>
  <c r="A4" i="72"/>
  <c r="A8" i="72"/>
  <c r="A14" i="72"/>
  <c r="A10" i="72"/>
  <c r="A9" i="72"/>
  <c r="D1" i="72"/>
  <c r="A12" i="72"/>
  <c r="A15" i="72"/>
  <c r="A3" i="72"/>
  <c r="I3" i="66"/>
  <c r="B15" i="66"/>
  <c r="D6" i="67"/>
  <c r="F6" i="67"/>
  <c r="E6" i="67"/>
  <c r="D38" i="67"/>
  <c r="F38" i="67"/>
  <c r="G6" i="67"/>
  <c r="H85" i="67"/>
  <c r="G38" i="67"/>
  <c r="E38" i="67"/>
  <c r="A3" i="73"/>
  <c r="G15" i="67"/>
  <c r="D15" i="67"/>
  <c r="E15" i="67"/>
  <c r="B154" i="67"/>
  <c r="C15" i="67"/>
  <c r="F15" i="67"/>
  <c r="A16" i="71"/>
  <c r="A7" i="71"/>
  <c r="A22" i="71"/>
  <c r="A5" i="71"/>
  <c r="A24" i="71"/>
  <c r="A4" i="71"/>
  <c r="A32" i="71"/>
  <c r="A15" i="71"/>
  <c r="A9" i="71"/>
  <c r="S8" i="69"/>
  <c r="S9" i="69"/>
  <c r="S12" i="69"/>
  <c r="S11" i="69"/>
  <c r="S7" i="69"/>
  <c r="U7" i="69" s="1"/>
  <c r="S10" i="69"/>
  <c r="B14" i="69"/>
  <c r="C3" i="67"/>
  <c r="C14" i="67"/>
  <c r="H10" i="66"/>
  <c r="D11" i="66" s="1"/>
  <c r="C38" i="66"/>
  <c r="C6" i="66"/>
  <c r="D4" i="66"/>
  <c r="C37" i="66"/>
  <c r="C39" i="66"/>
  <c r="C5" i="66"/>
  <c r="M4" i="66"/>
  <c r="G160" i="66"/>
  <c r="C160" i="66"/>
  <c r="F160" i="66"/>
  <c r="E160" i="66"/>
  <c r="D160" i="66"/>
  <c r="O18" i="66"/>
  <c r="W17" i="66"/>
  <c r="A10" i="62"/>
  <c r="A13" i="62"/>
  <c r="A14" i="62"/>
  <c r="A12" i="62"/>
  <c r="A3" i="62"/>
  <c r="A5" i="62"/>
  <c r="D1" i="62"/>
  <c r="A15" i="62"/>
  <c r="A7" i="62"/>
  <c r="A4" i="62"/>
  <c r="A9" i="62"/>
  <c r="A6" i="62"/>
  <c r="A11" i="62"/>
  <c r="A8" i="62"/>
  <c r="E54" i="63"/>
  <c r="E55" i="63"/>
  <c r="E56" i="63"/>
  <c r="E52" i="63"/>
  <c r="A53" i="63"/>
  <c r="E53" i="63" s="1"/>
  <c r="D51" i="63"/>
  <c r="C51" i="63"/>
  <c r="B51" i="63"/>
  <c r="C158" i="68" a="1"/>
  <c r="H204" i="52"/>
  <c r="H56" i="62"/>
  <c r="H57" i="63"/>
  <c r="D207" i="75" a="1"/>
  <c r="H212" i="52"/>
  <c r="H58" i="62"/>
  <c r="H59" i="63"/>
  <c r="C159" i="69" a="1"/>
  <c r="H56" i="63"/>
  <c r="C210" i="75" a="1"/>
  <c r="H52" i="62"/>
  <c r="H57" i="62"/>
  <c r="H207" i="52"/>
  <c r="C221" i="52" a="1"/>
  <c r="D221" i="52" a="1"/>
  <c r="D222" i="52" a="1"/>
  <c r="C222" i="52" a="1"/>
  <c r="H54" i="63"/>
  <c r="H55" i="63"/>
  <c r="H55" i="62"/>
  <c r="H60" i="62"/>
  <c r="C60" i="72" a="1"/>
  <c r="H203" i="52"/>
  <c r="D207" i="74" a="1"/>
  <c r="H202" i="52"/>
  <c r="H199" i="52"/>
  <c r="D60" i="72" a="1"/>
  <c r="H205" i="52"/>
  <c r="H214" i="52"/>
  <c r="H210" i="52"/>
  <c r="H216" i="52"/>
  <c r="C159" i="68" a="1"/>
  <c r="H58" i="63"/>
  <c r="H206" i="52"/>
  <c r="H215" i="52"/>
  <c r="D209" i="74" a="1"/>
  <c r="D60" i="73" a="1"/>
  <c r="D209" i="75" a="1"/>
  <c r="H201" i="52"/>
  <c r="H209" i="52"/>
  <c r="H54" i="62"/>
  <c r="H52" i="63"/>
  <c r="C158" i="69" a="1"/>
  <c r="H53" i="62"/>
  <c r="C209" i="75" a="1"/>
  <c r="H211" i="52"/>
  <c r="C60" i="73" a="1"/>
  <c r="H59" i="62"/>
  <c r="C210" i="74" a="1"/>
  <c r="C209" i="74" a="1"/>
  <c r="H200" i="52"/>
  <c r="H53" i="63"/>
  <c r="F154" i="66" l="1"/>
  <c r="G19" i="66" s="1"/>
  <c r="C154" i="66"/>
  <c r="D19" i="66" s="1"/>
  <c r="B158" i="66"/>
  <c r="G158" i="66" s="1"/>
  <c r="C23" i="66" s="1"/>
  <c r="D154" i="66"/>
  <c r="E19" i="66" s="1"/>
  <c r="G154" i="66"/>
  <c r="C19" i="66" s="1"/>
  <c r="E31" i="66"/>
  <c r="B51" i="69"/>
  <c r="G33" i="66"/>
  <c r="E11" i="66"/>
  <c r="C11" i="66"/>
  <c r="C158" i="68"/>
  <c r="E158" i="68" s="1"/>
  <c r="C158" i="69"/>
  <c r="C210" i="74"/>
  <c r="E210" i="74" s="1"/>
  <c r="B116" i="74" s="1"/>
  <c r="C210" i="75"/>
  <c r="E31" i="67"/>
  <c r="F31" i="66"/>
  <c r="F11" i="66"/>
  <c r="G31" i="66"/>
  <c r="C31" i="71"/>
  <c r="K31" i="71"/>
  <c r="D31" i="71"/>
  <c r="E31" i="71"/>
  <c r="B31" i="71"/>
  <c r="F31" i="67"/>
  <c r="C31" i="67"/>
  <c r="G31" i="67"/>
  <c r="B31" i="67"/>
  <c r="D31" i="67"/>
  <c r="B35" i="67"/>
  <c r="C29" i="67"/>
  <c r="E34" i="67" s="1"/>
  <c r="E25" i="66"/>
  <c r="E35" i="66" s="1"/>
  <c r="E50" i="66" s="1"/>
  <c r="F25" i="66"/>
  <c r="F35" i="66" s="1"/>
  <c r="C43" i="66" s="1"/>
  <c r="J47" i="66" s="1"/>
  <c r="AG24" i="66" s="1"/>
  <c r="B35" i="66"/>
  <c r="C29" i="66"/>
  <c r="B33" i="66"/>
  <c r="B31" i="66"/>
  <c r="D31" i="66"/>
  <c r="C31" i="66"/>
  <c r="C60" i="72"/>
  <c r="E60" i="72" s="1"/>
  <c r="A18" i="72" s="1"/>
  <c r="C60" i="73"/>
  <c r="A19" i="73"/>
  <c r="V14" i="68"/>
  <c r="B17" i="69"/>
  <c r="D209" i="75"/>
  <c r="E209" i="75" s="1"/>
  <c r="D209" i="74"/>
  <c r="C209" i="74"/>
  <c r="E209" i="74" s="1"/>
  <c r="C209" i="75"/>
  <c r="C159" i="68"/>
  <c r="E159" i="68" s="1"/>
  <c r="C159" i="69"/>
  <c r="D60" i="73"/>
  <c r="E60" i="73" s="1"/>
  <c r="A18" i="73" s="1"/>
  <c r="D60" i="72"/>
  <c r="D207" i="75"/>
  <c r="E207" i="75" s="1"/>
  <c r="B111" i="75" s="1"/>
  <c r="D207" i="74"/>
  <c r="D155" i="66"/>
  <c r="E20" i="66" s="1"/>
  <c r="E155" i="66"/>
  <c r="F20" i="66" s="1"/>
  <c r="B159" i="66"/>
  <c r="F155" i="66"/>
  <c r="G20" i="66" s="1"/>
  <c r="G155" i="66"/>
  <c r="C20" i="66" s="1"/>
  <c r="C155" i="66"/>
  <c r="D20" i="66" s="1"/>
  <c r="G155" i="67"/>
  <c r="F155" i="67"/>
  <c r="C155" i="67"/>
  <c r="E155" i="67"/>
  <c r="B159" i="67"/>
  <c r="G25" i="66"/>
  <c r="G35" i="66" s="1"/>
  <c r="H10" i="67"/>
  <c r="U14" i="69"/>
  <c r="B161" i="67"/>
  <c r="F157" i="67"/>
  <c r="G157" i="67"/>
  <c r="C157" i="67"/>
  <c r="D157" i="67"/>
  <c r="E157" i="67"/>
  <c r="A155" i="67"/>
  <c r="K31" i="70"/>
  <c r="D31" i="70"/>
  <c r="C31" i="70"/>
  <c r="E31" i="70"/>
  <c r="B31" i="70"/>
  <c r="A33" i="70"/>
  <c r="A31" i="70" s="1"/>
  <c r="D25" i="66"/>
  <c r="D35" i="66" s="1"/>
  <c r="C25" i="66"/>
  <c r="C35" i="66" s="1"/>
  <c r="B16" i="73"/>
  <c r="C16" i="73"/>
  <c r="J16" i="73"/>
  <c r="D16" i="73"/>
  <c r="D155" i="67"/>
  <c r="V14" i="69"/>
  <c r="C38" i="67"/>
  <c r="C39" i="67"/>
  <c r="C6" i="67"/>
  <c r="M4" i="67"/>
  <c r="C5" i="67"/>
  <c r="C37" i="67"/>
  <c r="D4" i="67"/>
  <c r="D21" i="66"/>
  <c r="D33" i="66" s="1"/>
  <c r="E21" i="66"/>
  <c r="E33" i="66" s="1"/>
  <c r="F21" i="66"/>
  <c r="F33" i="66" s="1"/>
  <c r="C21" i="66"/>
  <c r="C33" i="66" s="1"/>
  <c r="U14" i="68"/>
  <c r="D156" i="67"/>
  <c r="E156" i="67"/>
  <c r="G156" i="67"/>
  <c r="C156" i="67"/>
  <c r="B160" i="67"/>
  <c r="F156" i="67"/>
  <c r="G157" i="66"/>
  <c r="C22" i="66" s="1"/>
  <c r="B161" i="66"/>
  <c r="C157" i="66"/>
  <c r="D22" i="66" s="1"/>
  <c r="E157" i="66"/>
  <c r="F22" i="66" s="1"/>
  <c r="D157" i="66"/>
  <c r="E22" i="66" s="1"/>
  <c r="F157" i="66"/>
  <c r="G22" i="66" s="1"/>
  <c r="B23" i="67"/>
  <c r="B18" i="67"/>
  <c r="B26" i="67"/>
  <c r="B20" i="67"/>
  <c r="B24" i="67"/>
  <c r="B22" i="67"/>
  <c r="B16" i="67"/>
  <c r="B25" i="67"/>
  <c r="B19" i="67"/>
  <c r="B21" i="67"/>
  <c r="B17" i="67"/>
  <c r="G11" i="66"/>
  <c r="B23" i="66"/>
  <c r="B24" i="66"/>
  <c r="B26" i="66"/>
  <c r="B22" i="66"/>
  <c r="B17" i="66"/>
  <c r="B16" i="66"/>
  <c r="B18" i="66"/>
  <c r="B20" i="66"/>
  <c r="B19" i="66"/>
  <c r="B25" i="66"/>
  <c r="B21" i="66"/>
  <c r="A33" i="71"/>
  <c r="A31" i="71" s="1"/>
  <c r="G154" i="67"/>
  <c r="C19" i="67" s="1"/>
  <c r="C154" i="67"/>
  <c r="D19" i="67" s="1"/>
  <c r="B158" i="67"/>
  <c r="F154" i="67"/>
  <c r="G19" i="67" s="1"/>
  <c r="D154" i="67"/>
  <c r="E19" i="67" s="1"/>
  <c r="E154" i="67"/>
  <c r="F19" i="67" s="1"/>
  <c r="B16" i="72"/>
  <c r="A19" i="72"/>
  <c r="J16" i="72"/>
  <c r="C16" i="72"/>
  <c r="D16" i="72"/>
  <c r="O19" i="66"/>
  <c r="W18" i="66"/>
  <c r="C221" i="52"/>
  <c r="E221" i="52" s="1"/>
  <c r="G214" i="52"/>
  <c r="F214" i="52"/>
  <c r="F207" i="52"/>
  <c r="G207" i="52"/>
  <c r="F212" i="52"/>
  <c r="G212" i="52"/>
  <c r="F56" i="62"/>
  <c r="G56" i="62"/>
  <c r="G58" i="63"/>
  <c r="F58" i="63"/>
  <c r="F202" i="52"/>
  <c r="G202" i="52"/>
  <c r="F210" i="52"/>
  <c r="G210" i="52"/>
  <c r="G60" i="62"/>
  <c r="F60" i="62"/>
  <c r="F215" i="52"/>
  <c r="G215" i="52"/>
  <c r="G216" i="52"/>
  <c r="F216" i="52"/>
  <c r="F59" i="63"/>
  <c r="G59" i="63"/>
  <c r="G53" i="62"/>
  <c r="F53" i="62"/>
  <c r="G203" i="52"/>
  <c r="F203" i="52"/>
  <c r="G59" i="62"/>
  <c r="F59" i="62"/>
  <c r="F57" i="62"/>
  <c r="G57" i="62"/>
  <c r="G54" i="62"/>
  <c r="F54" i="62"/>
  <c r="F55" i="62"/>
  <c r="G55" i="62"/>
  <c r="G204" i="52"/>
  <c r="F204" i="52"/>
  <c r="D221" i="52"/>
  <c r="G206" i="52"/>
  <c r="F206" i="52"/>
  <c r="D222" i="52"/>
  <c r="F201" i="52"/>
  <c r="G201" i="52"/>
  <c r="G58" i="62"/>
  <c r="F58" i="62"/>
  <c r="G211" i="52"/>
  <c r="F211" i="52"/>
  <c r="G199" i="52"/>
  <c r="F199" i="52"/>
  <c r="G52" i="62"/>
  <c r="F52" i="62"/>
  <c r="G205" i="52"/>
  <c r="F205" i="52"/>
  <c r="G209" i="52"/>
  <c r="F209" i="52"/>
  <c r="G200" i="52"/>
  <c r="F200" i="52"/>
  <c r="C222" i="52"/>
  <c r="E222" i="52" s="1"/>
  <c r="A30" i="63"/>
  <c r="A26" i="63"/>
  <c r="A22" i="63"/>
  <c r="A18" i="63"/>
  <c r="A14" i="63"/>
  <c r="A10" i="63"/>
  <c r="A6" i="63"/>
  <c r="E1" i="63"/>
  <c r="A29" i="63"/>
  <c r="A25" i="63"/>
  <c r="A21" i="63"/>
  <c r="A17" i="63"/>
  <c r="A13" i="63"/>
  <c r="A9" i="63"/>
  <c r="A5" i="63"/>
  <c r="A28" i="63"/>
  <c r="A24" i="63"/>
  <c r="A20" i="63"/>
  <c r="A16" i="63"/>
  <c r="A12" i="63"/>
  <c r="A8" i="63"/>
  <c r="A4" i="63"/>
  <c r="A27" i="63"/>
  <c r="A23" i="63"/>
  <c r="A19" i="63"/>
  <c r="A15" i="63"/>
  <c r="A11" i="63"/>
  <c r="A7" i="63"/>
  <c r="A3" i="63"/>
  <c r="G57" i="63"/>
  <c r="F57" i="63"/>
  <c r="F52" i="63"/>
  <c r="G52" i="63"/>
  <c r="F54" i="63"/>
  <c r="G54" i="63"/>
  <c r="F56" i="63"/>
  <c r="G56" i="63"/>
  <c r="G53" i="63"/>
  <c r="F53" i="63"/>
  <c r="G55" i="63"/>
  <c r="F55" i="63"/>
  <c r="A176" i="54"/>
  <c r="A185" i="54"/>
  <c r="A184" i="54"/>
  <c r="A183" i="54"/>
  <c r="A182" i="54"/>
  <c r="A181" i="54"/>
  <c r="A180" i="54"/>
  <c r="A179" i="54"/>
  <c r="B178" i="54"/>
  <c r="A178" i="54"/>
  <c r="B177" i="54"/>
  <c r="A177" i="54"/>
  <c r="A175" i="54"/>
  <c r="A174" i="54"/>
  <c r="B173" i="54"/>
  <c r="A173" i="54"/>
  <c r="A172" i="54"/>
  <c r="A171" i="54"/>
  <c r="B170" i="54"/>
  <c r="A170" i="54"/>
  <c r="A169" i="54"/>
  <c r="A168" i="54"/>
  <c r="B167" i="54"/>
  <c r="A167" i="54"/>
  <c r="B166" i="54"/>
  <c r="A166" i="54"/>
  <c r="B165" i="54"/>
  <c r="A165" i="54"/>
  <c r="B164" i="54"/>
  <c r="A164" i="54"/>
  <c r="A163" i="54"/>
  <c r="A162" i="54"/>
  <c r="B161" i="54"/>
  <c r="A161" i="54"/>
  <c r="B160" i="54"/>
  <c r="A160" i="54"/>
  <c r="A159" i="54"/>
  <c r="A158" i="54"/>
  <c r="B157" i="54"/>
  <c r="A157" i="54"/>
  <c r="A156" i="54"/>
  <c r="A155" i="54"/>
  <c r="A154" i="54"/>
  <c r="A153" i="54"/>
  <c r="B152" i="54"/>
  <c r="A152" i="54"/>
  <c r="B151" i="54"/>
  <c r="A151" i="54"/>
  <c r="B150" i="54"/>
  <c r="A150" i="54"/>
  <c r="B149" i="54"/>
  <c r="A149" i="54"/>
  <c r="B148" i="54"/>
  <c r="A148" i="54"/>
  <c r="B147" i="54"/>
  <c r="A147" i="54"/>
  <c r="B146" i="54"/>
  <c r="B145" i="54"/>
  <c r="A145" i="54"/>
  <c r="B144" i="54"/>
  <c r="A144" i="54"/>
  <c r="B143" i="54"/>
  <c r="A143" i="54"/>
  <c r="B142" i="54"/>
  <c r="A142" i="54"/>
  <c r="B141" i="54"/>
  <c r="A141" i="54"/>
  <c r="B140" i="54"/>
  <c r="A140" i="54"/>
  <c r="B139" i="54"/>
  <c r="A139" i="54"/>
  <c r="B138" i="54"/>
  <c r="A138" i="54"/>
  <c r="A137" i="54"/>
  <c r="B136" i="54"/>
  <c r="A136" i="54"/>
  <c r="A135" i="54"/>
  <c r="B134" i="54"/>
  <c r="B133" i="54"/>
  <c r="A133" i="54"/>
  <c r="A132" i="54"/>
  <c r="B131" i="54"/>
  <c r="A131" i="54"/>
  <c r="A130" i="54"/>
  <c r="B129" i="54"/>
  <c r="A129" i="54"/>
  <c r="B128" i="54"/>
  <c r="A128" i="54"/>
  <c r="A127" i="54"/>
  <c r="A126" i="54"/>
  <c r="B125" i="54"/>
  <c r="A125" i="54"/>
  <c r="B124" i="54"/>
  <c r="A124" i="54"/>
  <c r="A123" i="54"/>
  <c r="B122" i="54"/>
  <c r="A122" i="54"/>
  <c r="B121" i="54"/>
  <c r="A121" i="54"/>
  <c r="B120" i="54"/>
  <c r="A120" i="54"/>
  <c r="B119" i="54"/>
  <c r="A119" i="54"/>
  <c r="A118" i="54"/>
  <c r="B117" i="54"/>
  <c r="A117" i="54"/>
  <c r="A116" i="54"/>
  <c r="B115" i="54"/>
  <c r="A115" i="54"/>
  <c r="B114" i="54"/>
  <c r="A114" i="54"/>
  <c r="A113" i="54"/>
  <c r="A112" i="54"/>
  <c r="B111" i="54"/>
  <c r="A111" i="54"/>
  <c r="A110" i="54"/>
  <c r="A109" i="54"/>
  <c r="A108" i="54"/>
  <c r="B107" i="54"/>
  <c r="A107" i="54"/>
  <c r="A106" i="54"/>
  <c r="A105" i="54"/>
  <c r="B104" i="54"/>
  <c r="A104" i="54"/>
  <c r="A103" i="54"/>
  <c r="B102" i="54"/>
  <c r="A102" i="54"/>
  <c r="B101" i="54"/>
  <c r="A101" i="54"/>
  <c r="B100" i="54"/>
  <c r="A100" i="54"/>
  <c r="B99" i="54"/>
  <c r="A99" i="54"/>
  <c r="B98" i="54"/>
  <c r="A98" i="54"/>
  <c r="B97" i="54"/>
  <c r="A97" i="54"/>
  <c r="A96" i="54"/>
  <c r="A95" i="54"/>
  <c r="A94" i="54"/>
  <c r="A93" i="54"/>
  <c r="A92" i="54"/>
  <c r="A91" i="54"/>
  <c r="D90" i="54"/>
  <c r="C90" i="54"/>
  <c r="B90" i="54"/>
  <c r="B153" i="53"/>
  <c r="L153" i="53"/>
  <c r="K153" i="53"/>
  <c r="J153" i="53"/>
  <c r="I153" i="53"/>
  <c r="G153" i="53"/>
  <c r="F153" i="53"/>
  <c r="E153" i="53"/>
  <c r="D153" i="53"/>
  <c r="C153" i="53"/>
  <c r="H153" i="53"/>
  <c r="AG151" i="53"/>
  <c r="AB151" i="53"/>
  <c r="W151" i="53"/>
  <c r="Q151" i="53"/>
  <c r="Q153" i="53" s="1"/>
  <c r="P151" i="53"/>
  <c r="P153" i="53" s="1"/>
  <c r="O151" i="53"/>
  <c r="T151" i="53" s="1"/>
  <c r="T153" i="53" s="1"/>
  <c r="N151" i="53"/>
  <c r="S151" i="53" s="1"/>
  <c r="S153" i="53" s="1"/>
  <c r="M151" i="53"/>
  <c r="M153" i="53" s="1"/>
  <c r="H146" i="54"/>
  <c r="H91" i="54"/>
  <c r="C224" i="74" a="1"/>
  <c r="Y159" i="53"/>
  <c r="W158" i="53"/>
  <c r="H150" i="53"/>
  <c r="D232" i="74" a="1"/>
  <c r="H184" i="54"/>
  <c r="Z156" i="53"/>
  <c r="H138" i="53"/>
  <c r="D158" i="69" a="1"/>
  <c r="D232" i="75" a="1"/>
  <c r="AA160" i="53"/>
  <c r="D226" i="74" a="1"/>
  <c r="H143" i="53"/>
  <c r="D224" i="74" a="1"/>
  <c r="H94" i="54"/>
  <c r="H118" i="54"/>
  <c r="C207" i="52" a="1"/>
  <c r="H158" i="54"/>
  <c r="H175" i="54"/>
  <c r="D229" i="75" a="1"/>
  <c r="Z160" i="53"/>
  <c r="W154" i="53"/>
  <c r="H140" i="53"/>
  <c r="X159" i="53"/>
  <c r="Y157" i="53"/>
  <c r="D224" i="75" a="1"/>
  <c r="H171" i="54"/>
  <c r="H141" i="53"/>
  <c r="AA155" i="53"/>
  <c r="AA154" i="53"/>
  <c r="D219" i="75" a="1"/>
  <c r="H159" i="54"/>
  <c r="C225" i="75" a="1"/>
  <c r="H182" i="54"/>
  <c r="C233" i="74" a="1"/>
  <c r="W160" i="53"/>
  <c r="AA158" i="53"/>
  <c r="D227" i="75" a="1"/>
  <c r="C225" i="74" a="1"/>
  <c r="W161" i="53"/>
  <c r="D220" i="74" a="1"/>
  <c r="W156" i="53"/>
  <c r="D216" i="52" a="1"/>
  <c r="H132" i="54"/>
  <c r="C220" i="74" a="1"/>
  <c r="H101" i="54"/>
  <c r="H119" i="54"/>
  <c r="H136" i="54"/>
  <c r="C219" i="75" a="1"/>
  <c r="C226" i="75" a="1"/>
  <c r="H154" i="54"/>
  <c r="H150" i="54"/>
  <c r="H163" i="54"/>
  <c r="H129" i="54"/>
  <c r="D235" i="75" a="1"/>
  <c r="H148" i="54"/>
  <c r="Y158" i="53"/>
  <c r="D225" i="74" a="1"/>
  <c r="H149" i="53"/>
  <c r="H144" i="53"/>
  <c r="H137" i="54"/>
  <c r="H92" i="54"/>
  <c r="H105" i="54"/>
  <c r="H164" i="54"/>
  <c r="H123" i="54"/>
  <c r="D158" i="68" a="1"/>
  <c r="H104" i="54"/>
  <c r="C228" i="74" a="1"/>
  <c r="H162" i="54"/>
  <c r="Z161" i="53"/>
  <c r="H120" i="54"/>
  <c r="C234" i="75" a="1"/>
  <c r="H122" i="54"/>
  <c r="C235" i="75" a="1"/>
  <c r="H121" i="54"/>
  <c r="H166" i="54"/>
  <c r="D229" i="74" a="1"/>
  <c r="AA157" i="53"/>
  <c r="Y161" i="53"/>
  <c r="H177" i="54"/>
  <c r="H95" i="54"/>
  <c r="H126" i="54"/>
  <c r="H100" i="54"/>
  <c r="D227" i="74" a="1"/>
  <c r="C232" i="75" a="1"/>
  <c r="H147" i="53"/>
  <c r="H139" i="54"/>
  <c r="C228" i="75" a="1"/>
  <c r="D233" i="74" a="1"/>
  <c r="D228" i="74" a="1"/>
  <c r="C219" i="74" a="1"/>
  <c r="C234" i="74" a="1"/>
  <c r="C232" i="74" a="1"/>
  <c r="D233" i="75" a="1"/>
  <c r="C235" i="74" a="1"/>
  <c r="H160" i="54"/>
  <c r="C233" i="75" a="1"/>
  <c r="C226" i="74" a="1"/>
  <c r="H180" i="54"/>
  <c r="H172" i="54"/>
  <c r="W155" i="53"/>
  <c r="H141" i="54"/>
  <c r="H165" i="54"/>
  <c r="H107" i="54"/>
  <c r="Y155" i="53"/>
  <c r="H99" i="54"/>
  <c r="H109" i="54"/>
  <c r="X157" i="53"/>
  <c r="C229" i="75" a="1"/>
  <c r="AA161" i="53"/>
  <c r="H130" i="54"/>
  <c r="H114" i="54"/>
  <c r="D220" i="75" a="1"/>
  <c r="C163" i="68" a="1"/>
  <c r="H112" i="54"/>
  <c r="Z154" i="53"/>
  <c r="W159" i="53"/>
  <c r="X154" i="53"/>
  <c r="H168" i="54"/>
  <c r="H115" i="54"/>
  <c r="H146" i="53"/>
  <c r="H153" i="54"/>
  <c r="C163" i="69" a="1"/>
  <c r="H133" i="54"/>
  <c r="X161" i="53"/>
  <c r="H139" i="53"/>
  <c r="D225" i="75" a="1"/>
  <c r="AA156" i="53"/>
  <c r="Z155" i="53"/>
  <c r="H140" i="54"/>
  <c r="H143" i="54"/>
  <c r="H110" i="54"/>
  <c r="H185" i="54"/>
  <c r="D235" i="74" a="1"/>
  <c r="H181" i="54"/>
  <c r="H170" i="54"/>
  <c r="Z159" i="53"/>
  <c r="H125" i="54"/>
  <c r="H128" i="54"/>
  <c r="H102" i="54"/>
  <c r="X156" i="53"/>
  <c r="H113" i="54"/>
  <c r="H145" i="54"/>
  <c r="H97" i="54"/>
  <c r="D234" i="75" a="1"/>
  <c r="H96" i="54"/>
  <c r="D219" i="74" a="1"/>
  <c r="H145" i="53"/>
  <c r="Z157" i="53"/>
  <c r="H124" i="54"/>
  <c r="H98" i="54"/>
  <c r="H116" i="54"/>
  <c r="H178" i="54"/>
  <c r="H106" i="54"/>
  <c r="C227" i="74" a="1"/>
  <c r="H131" i="54"/>
  <c r="H152" i="54"/>
  <c r="H127" i="54"/>
  <c r="H173" i="54"/>
  <c r="H138" i="54"/>
  <c r="H111" i="54"/>
  <c r="H155" i="54"/>
  <c r="Y154" i="53"/>
  <c r="H103" i="54"/>
  <c r="Z158" i="53"/>
  <c r="H108" i="54"/>
  <c r="H176" i="54"/>
  <c r="H142" i="53"/>
  <c r="H169" i="54"/>
  <c r="H174" i="54"/>
  <c r="H147" i="54"/>
  <c r="H148" i="53"/>
  <c r="C229" i="74" a="1"/>
  <c r="H93" i="54"/>
  <c r="H156" i="54"/>
  <c r="W157" i="53"/>
  <c r="Y160" i="53"/>
  <c r="H183" i="54"/>
  <c r="H161" i="54"/>
  <c r="X158" i="53"/>
  <c r="AA159" i="53"/>
  <c r="D210" i="75" a="1"/>
  <c r="H117" i="54"/>
  <c r="H135" i="54"/>
  <c r="H142" i="54"/>
  <c r="H167" i="54"/>
  <c r="H179" i="54"/>
  <c r="H134" i="54"/>
  <c r="C220" i="75" a="1"/>
  <c r="D228" i="75" a="1"/>
  <c r="D226" i="75" a="1"/>
  <c r="D60" i="62" a="1"/>
  <c r="D210" i="74" a="1"/>
  <c r="X155" i="53"/>
  <c r="H149" i="54"/>
  <c r="C227" i="75" a="1"/>
  <c r="D234" i="74" a="1"/>
  <c r="C224" i="75" a="1"/>
  <c r="H144" i="54"/>
  <c r="H157" i="54"/>
  <c r="Y156" i="53"/>
  <c r="C59" i="62" a="1"/>
  <c r="X160" i="53"/>
  <c r="H151" i="54"/>
  <c r="D52" i="62" a="1"/>
  <c r="D59" i="63" a="1"/>
  <c r="D52" i="63" a="1"/>
  <c r="C58" i="63" a="1"/>
  <c r="C158" i="66" l="1"/>
  <c r="D23" i="66" s="1"/>
  <c r="F158" i="66"/>
  <c r="G23" i="66" s="1"/>
  <c r="E158" i="66"/>
  <c r="F23" i="66" s="1"/>
  <c r="D158" i="66"/>
  <c r="E23" i="66" s="1"/>
  <c r="G21" i="67"/>
  <c r="G33" i="67" s="1"/>
  <c r="H11" i="66"/>
  <c r="F50" i="66"/>
  <c r="AI24" i="66"/>
  <c r="F41" i="66"/>
  <c r="X23" i="66" s="1"/>
  <c r="F21" i="67"/>
  <c r="F33" i="67" s="1"/>
  <c r="E21" i="67"/>
  <c r="E33" i="67" s="1"/>
  <c r="C20" i="67"/>
  <c r="C163" i="69"/>
  <c r="C163" i="68"/>
  <c r="E163" i="68" s="1"/>
  <c r="D225" i="75"/>
  <c r="E225" i="75" s="1"/>
  <c r="G14" i="75" s="1"/>
  <c r="D225" i="74"/>
  <c r="D228" i="75"/>
  <c r="E228" i="75" s="1"/>
  <c r="G17" i="75" s="1"/>
  <c r="D228" i="74"/>
  <c r="D227" i="74"/>
  <c r="D227" i="75"/>
  <c r="E227" i="75" s="1"/>
  <c r="G16" i="75" s="1"/>
  <c r="D229" i="74"/>
  <c r="D229" i="75"/>
  <c r="E229" i="75" s="1"/>
  <c r="D14" i="75" s="1"/>
  <c r="D226" i="74"/>
  <c r="D226" i="75"/>
  <c r="E226" i="75" s="1"/>
  <c r="G15" i="75" s="1"/>
  <c r="AH24" i="66"/>
  <c r="B34" i="67"/>
  <c r="C36" i="67"/>
  <c r="C51" i="67" s="1"/>
  <c r="F36" i="67"/>
  <c r="F51" i="67" s="1"/>
  <c r="E36" i="67"/>
  <c r="E51" i="67" s="1"/>
  <c r="D21" i="67"/>
  <c r="D33" i="67" s="1"/>
  <c r="G34" i="67"/>
  <c r="B32" i="67"/>
  <c r="C21" i="67"/>
  <c r="C33" i="67" s="1"/>
  <c r="G32" i="67"/>
  <c r="D34" i="67"/>
  <c r="C34" i="67"/>
  <c r="F32" i="67"/>
  <c r="B36" i="67"/>
  <c r="F34" i="67"/>
  <c r="A17" i="73"/>
  <c r="D36" i="67"/>
  <c r="D51" i="67" s="1"/>
  <c r="C32" i="67"/>
  <c r="G36" i="67"/>
  <c r="G51" i="67" s="1"/>
  <c r="D32" i="67"/>
  <c r="E32" i="67"/>
  <c r="G11" i="67"/>
  <c r="D11" i="67"/>
  <c r="G20" i="67"/>
  <c r="D20" i="67"/>
  <c r="E41" i="66"/>
  <c r="X18" i="66" s="1"/>
  <c r="A17" i="72"/>
  <c r="C34" i="66"/>
  <c r="D36" i="66"/>
  <c r="D51" i="66" s="1"/>
  <c r="F32" i="66"/>
  <c r="E36" i="66"/>
  <c r="E51" i="66" s="1"/>
  <c r="B32" i="66"/>
  <c r="C32" i="66"/>
  <c r="G36" i="66"/>
  <c r="G51" i="66" s="1"/>
  <c r="B34" i="66"/>
  <c r="B36" i="66"/>
  <c r="G32" i="66"/>
  <c r="D34" i="66"/>
  <c r="G34" i="66"/>
  <c r="F36" i="66"/>
  <c r="F51" i="66" s="1"/>
  <c r="E34" i="66"/>
  <c r="D32" i="66"/>
  <c r="C36" i="66"/>
  <c r="C51" i="66" s="1"/>
  <c r="F34" i="66"/>
  <c r="E32" i="66"/>
  <c r="E20" i="67"/>
  <c r="F20" i="67"/>
  <c r="D210" i="75"/>
  <c r="E210" i="75" s="1"/>
  <c r="B116" i="75" s="1"/>
  <c r="D210" i="74"/>
  <c r="C220" i="75"/>
  <c r="C220" i="74"/>
  <c r="E220" i="74" s="1"/>
  <c r="D234" i="75"/>
  <c r="E234" i="75" s="1"/>
  <c r="G69" i="75" s="1"/>
  <c r="D234" i="74"/>
  <c r="C225" i="75"/>
  <c r="C225" i="74"/>
  <c r="E225" i="74" s="1"/>
  <c r="G14" i="74" s="1"/>
  <c r="C224" i="75"/>
  <c r="C224" i="74"/>
  <c r="E224" i="74" s="1"/>
  <c r="C9" i="74" s="1"/>
  <c r="D235" i="75"/>
  <c r="E235" i="75" s="1"/>
  <c r="D68" i="75" s="1"/>
  <c r="D235" i="74"/>
  <c r="C228" i="75"/>
  <c r="C228" i="74"/>
  <c r="E228" i="74" s="1"/>
  <c r="G17" i="74" s="1"/>
  <c r="D219" i="74"/>
  <c r="D219" i="75"/>
  <c r="E219" i="75" s="1"/>
  <c r="C234" i="74"/>
  <c r="E234" i="74" s="1"/>
  <c r="G69" i="74" s="1"/>
  <c r="C234" i="75"/>
  <c r="C219" i="74"/>
  <c r="E219" i="74" s="1"/>
  <c r="C219" i="75"/>
  <c r="D233" i="74"/>
  <c r="D233" i="75"/>
  <c r="E233" i="75" s="1"/>
  <c r="G68" i="75" s="1"/>
  <c r="C226" i="75"/>
  <c r="C226" i="74"/>
  <c r="E226" i="74" s="1"/>
  <c r="G15" i="74" s="1"/>
  <c r="C233" i="74"/>
  <c r="E233" i="74" s="1"/>
  <c r="G68" i="74" s="1"/>
  <c r="C233" i="75"/>
  <c r="D232" i="75"/>
  <c r="E232" i="75" s="1"/>
  <c r="G67" i="75" s="1"/>
  <c r="D232" i="74"/>
  <c r="C227" i="74"/>
  <c r="E227" i="74" s="1"/>
  <c r="G16" i="74" s="1"/>
  <c r="C227" i="75"/>
  <c r="C235" i="74"/>
  <c r="E235" i="74" s="1"/>
  <c r="D68" i="74" s="1"/>
  <c r="C235" i="75"/>
  <c r="C229" i="75"/>
  <c r="C229" i="74"/>
  <c r="E229" i="74" s="1"/>
  <c r="D14" i="74" s="1"/>
  <c r="D158" i="69"/>
  <c r="E158" i="69" s="1"/>
  <c r="D158" i="68"/>
  <c r="D224" i="74"/>
  <c r="D224" i="75"/>
  <c r="E224" i="75" s="1"/>
  <c r="C9" i="75" s="1"/>
  <c r="C232" i="75"/>
  <c r="C232" i="74"/>
  <c r="E232" i="74" s="1"/>
  <c r="G67" i="74" s="1"/>
  <c r="D220" i="74"/>
  <c r="D220" i="75"/>
  <c r="E220" i="75" s="1"/>
  <c r="E161" i="67"/>
  <c r="F26" i="67" s="1"/>
  <c r="F161" i="67"/>
  <c r="G26" i="67" s="1"/>
  <c r="C161" i="67"/>
  <c r="D26" i="67" s="1"/>
  <c r="G161" i="67"/>
  <c r="C26" i="67" s="1"/>
  <c r="D161" i="67"/>
  <c r="E26" i="67" s="1"/>
  <c r="D158" i="67"/>
  <c r="E23" i="67" s="1"/>
  <c r="G158" i="67"/>
  <c r="C23" i="67" s="1"/>
  <c r="F158" i="67"/>
  <c r="G23" i="67" s="1"/>
  <c r="C158" i="67"/>
  <c r="D23" i="67" s="1"/>
  <c r="E158" i="67"/>
  <c r="F23" i="67" s="1"/>
  <c r="F161" i="66"/>
  <c r="G26" i="66" s="1"/>
  <c r="G161" i="66"/>
  <c r="C26" i="66" s="1"/>
  <c r="C161" i="66"/>
  <c r="D26" i="66" s="1"/>
  <c r="D161" i="66"/>
  <c r="E26" i="66" s="1"/>
  <c r="E161" i="66"/>
  <c r="F26" i="66" s="1"/>
  <c r="C22" i="67"/>
  <c r="G22" i="67"/>
  <c r="E22" i="67"/>
  <c r="D22" i="67"/>
  <c r="F22" i="67"/>
  <c r="F11" i="67"/>
  <c r="C11" i="67"/>
  <c r="E11" i="67"/>
  <c r="G50" i="66"/>
  <c r="G41" i="66"/>
  <c r="X28" i="66" s="1"/>
  <c r="C50" i="66"/>
  <c r="C41" i="66"/>
  <c r="N4" i="66" s="1"/>
  <c r="E159" i="67"/>
  <c r="F24" i="67" s="1"/>
  <c r="C159" i="67"/>
  <c r="D24" i="67" s="1"/>
  <c r="G159" i="67"/>
  <c r="C24" i="67" s="1"/>
  <c r="F159" i="67"/>
  <c r="G24" i="67" s="1"/>
  <c r="D159" i="67"/>
  <c r="E24" i="67" s="1"/>
  <c r="C159" i="66"/>
  <c r="D24" i="66" s="1"/>
  <c r="D159" i="66"/>
  <c r="E24" i="66" s="1"/>
  <c r="G159" i="66"/>
  <c r="C24" i="66" s="1"/>
  <c r="F159" i="66"/>
  <c r="G24" i="66" s="1"/>
  <c r="E159" i="66"/>
  <c r="F24" i="66" s="1"/>
  <c r="D160" i="67"/>
  <c r="E25" i="67" s="1"/>
  <c r="E35" i="67" s="1"/>
  <c r="F160" i="67"/>
  <c r="G25" i="67" s="1"/>
  <c r="G35" i="67" s="1"/>
  <c r="E160" i="67"/>
  <c r="F25" i="67" s="1"/>
  <c r="F35" i="67" s="1"/>
  <c r="G160" i="67"/>
  <c r="C25" i="67" s="1"/>
  <c r="C35" i="67" s="1"/>
  <c r="C160" i="67"/>
  <c r="D25" i="67" s="1"/>
  <c r="D35" i="67" s="1"/>
  <c r="D50" i="66"/>
  <c r="D41" i="66"/>
  <c r="X9" i="66" s="1"/>
  <c r="O20" i="66"/>
  <c r="W19" i="66"/>
  <c r="C59" i="62"/>
  <c r="D216" i="52"/>
  <c r="C207" i="52"/>
  <c r="D60" i="62"/>
  <c r="D52" i="62"/>
  <c r="D52" i="63"/>
  <c r="C58" i="63"/>
  <c r="D59" i="63"/>
  <c r="E97" i="54"/>
  <c r="E99" i="54"/>
  <c r="E101" i="54"/>
  <c r="E177" i="54"/>
  <c r="E161" i="54"/>
  <c r="E178" i="54"/>
  <c r="E165" i="54"/>
  <c r="E167" i="54"/>
  <c r="E100" i="54"/>
  <c r="E160" i="54"/>
  <c r="E164" i="54"/>
  <c r="E173" i="54"/>
  <c r="E107" i="54"/>
  <c r="E111" i="54"/>
  <c r="E115" i="54"/>
  <c r="E117" i="54"/>
  <c r="E120" i="54"/>
  <c r="E122" i="54"/>
  <c r="E124" i="54"/>
  <c r="E128" i="54"/>
  <c r="E136" i="54"/>
  <c r="E138" i="54"/>
  <c r="B10" i="54" s="1"/>
  <c r="E140" i="54"/>
  <c r="B5" i="54" s="1"/>
  <c r="E142" i="54"/>
  <c r="E144" i="54"/>
  <c r="E147" i="54"/>
  <c r="B44" i="54" s="1"/>
  <c r="E149" i="54"/>
  <c r="B45" i="54" s="1"/>
  <c r="E151" i="54"/>
  <c r="E157" i="54"/>
  <c r="E170" i="54"/>
  <c r="E104" i="54"/>
  <c r="E114" i="54"/>
  <c r="E119" i="54"/>
  <c r="E121" i="54"/>
  <c r="E125" i="54"/>
  <c r="E129" i="54"/>
  <c r="E131" i="54"/>
  <c r="E133" i="54"/>
  <c r="E139" i="54"/>
  <c r="E141" i="54"/>
  <c r="B3" i="54" s="1"/>
  <c r="E143" i="54"/>
  <c r="B72" i="54" s="1"/>
  <c r="E145" i="54"/>
  <c r="E148" i="54"/>
  <c r="B47" i="54" s="1"/>
  <c r="E150" i="54"/>
  <c r="E152" i="54"/>
  <c r="E166" i="54"/>
  <c r="F120" i="54"/>
  <c r="G120" i="54"/>
  <c r="F122" i="54"/>
  <c r="G122" i="54"/>
  <c r="F124" i="54"/>
  <c r="G124" i="54"/>
  <c r="F126" i="54"/>
  <c r="G126" i="54"/>
  <c r="F128" i="54"/>
  <c r="G128" i="54"/>
  <c r="F130" i="54"/>
  <c r="G130" i="54"/>
  <c r="F132" i="54"/>
  <c r="G132" i="54"/>
  <c r="F134" i="54"/>
  <c r="G134" i="54"/>
  <c r="F136" i="54"/>
  <c r="G136" i="54"/>
  <c r="F138" i="54"/>
  <c r="G138" i="54"/>
  <c r="F140" i="54"/>
  <c r="G140" i="54"/>
  <c r="F142" i="54"/>
  <c r="G142" i="54"/>
  <c r="F144" i="54"/>
  <c r="G144" i="54"/>
  <c r="F146" i="54"/>
  <c r="G146" i="54"/>
  <c r="F147" i="54"/>
  <c r="G147" i="54"/>
  <c r="F149" i="54"/>
  <c r="G149" i="54"/>
  <c r="F151" i="54"/>
  <c r="G151" i="54"/>
  <c r="F153" i="54"/>
  <c r="G153" i="54"/>
  <c r="F155" i="54"/>
  <c r="G155" i="54"/>
  <c r="G119" i="54"/>
  <c r="F119" i="54"/>
  <c r="G121" i="54"/>
  <c r="F121" i="54"/>
  <c r="G123" i="54"/>
  <c r="F123" i="54"/>
  <c r="G125" i="54"/>
  <c r="F125" i="54"/>
  <c r="G127" i="54"/>
  <c r="F127" i="54"/>
  <c r="G129" i="54"/>
  <c r="F129" i="54"/>
  <c r="G131" i="54"/>
  <c r="F131" i="54"/>
  <c r="G133" i="54"/>
  <c r="F133" i="54"/>
  <c r="G135" i="54"/>
  <c r="F135" i="54"/>
  <c r="G137" i="54"/>
  <c r="F137" i="54"/>
  <c r="G139" i="54"/>
  <c r="F139" i="54"/>
  <c r="G141" i="54"/>
  <c r="F141" i="54"/>
  <c r="G143" i="54"/>
  <c r="F143" i="54"/>
  <c r="G145" i="54"/>
  <c r="F145" i="54"/>
  <c r="G148" i="54"/>
  <c r="F148" i="54"/>
  <c r="G150" i="54"/>
  <c r="F150" i="54"/>
  <c r="G152" i="54"/>
  <c r="F152" i="54"/>
  <c r="G154" i="54"/>
  <c r="F154" i="54"/>
  <c r="G156" i="54"/>
  <c r="F156" i="54"/>
  <c r="F158" i="54"/>
  <c r="G158" i="54"/>
  <c r="F160" i="54"/>
  <c r="G160" i="54"/>
  <c r="F162" i="54"/>
  <c r="G162" i="54"/>
  <c r="F164" i="54"/>
  <c r="G164" i="54"/>
  <c r="F166" i="54"/>
  <c r="G166" i="54"/>
  <c r="F168" i="54"/>
  <c r="G168" i="54"/>
  <c r="F170" i="54"/>
  <c r="G170" i="54"/>
  <c r="F172" i="54"/>
  <c r="G172" i="54"/>
  <c r="F174" i="54"/>
  <c r="G174" i="54"/>
  <c r="F176" i="54"/>
  <c r="G176" i="54"/>
  <c r="G157" i="54"/>
  <c r="F157" i="54"/>
  <c r="G159" i="54"/>
  <c r="F159" i="54"/>
  <c r="G161" i="54"/>
  <c r="F161" i="54"/>
  <c r="G163" i="54"/>
  <c r="F163" i="54"/>
  <c r="G165" i="54"/>
  <c r="F165" i="54"/>
  <c r="G167" i="54"/>
  <c r="F167" i="54"/>
  <c r="G169" i="54"/>
  <c r="F169" i="54"/>
  <c r="G171" i="54"/>
  <c r="F171" i="54"/>
  <c r="G173" i="54"/>
  <c r="F173" i="54"/>
  <c r="G175" i="54"/>
  <c r="F175" i="54"/>
  <c r="F177" i="54"/>
  <c r="G177" i="54"/>
  <c r="F179" i="54"/>
  <c r="G179" i="54"/>
  <c r="F181" i="54"/>
  <c r="G181" i="54"/>
  <c r="F183" i="54"/>
  <c r="G183" i="54"/>
  <c r="F185" i="54"/>
  <c r="G185" i="54"/>
  <c r="G178" i="54"/>
  <c r="F178" i="54"/>
  <c r="G180" i="54"/>
  <c r="F180" i="54"/>
  <c r="G182" i="54"/>
  <c r="F182" i="54"/>
  <c r="G184" i="54"/>
  <c r="F184" i="54"/>
  <c r="E102" i="54"/>
  <c r="E98" i="54"/>
  <c r="F105" i="54"/>
  <c r="G105" i="54"/>
  <c r="F107" i="54"/>
  <c r="G107" i="54"/>
  <c r="F109" i="54"/>
  <c r="G109" i="54"/>
  <c r="F111" i="54"/>
  <c r="G111" i="54"/>
  <c r="F113" i="54"/>
  <c r="G113" i="54"/>
  <c r="F115" i="54"/>
  <c r="G115" i="54"/>
  <c r="F117" i="54"/>
  <c r="G117" i="54"/>
  <c r="F92" i="54"/>
  <c r="G92" i="54"/>
  <c r="F94" i="54"/>
  <c r="G94" i="54"/>
  <c r="F96" i="54"/>
  <c r="G96" i="54"/>
  <c r="F100" i="54"/>
  <c r="G100" i="54"/>
  <c r="F98" i="54"/>
  <c r="G98" i="54"/>
  <c r="F102" i="54"/>
  <c r="G102" i="54"/>
  <c r="G91" i="54"/>
  <c r="F91" i="54"/>
  <c r="G93" i="54"/>
  <c r="F93" i="54"/>
  <c r="G95" i="54"/>
  <c r="F95" i="54"/>
  <c r="G97" i="54"/>
  <c r="F97" i="54"/>
  <c r="F99" i="54"/>
  <c r="G99" i="54"/>
  <c r="G101" i="54"/>
  <c r="F101" i="54"/>
  <c r="F103" i="54"/>
  <c r="G103" i="54"/>
  <c r="F104" i="54"/>
  <c r="G104" i="54"/>
  <c r="F106" i="54"/>
  <c r="G106" i="54"/>
  <c r="F108" i="54"/>
  <c r="G108" i="54"/>
  <c r="F110" i="54"/>
  <c r="G110" i="54"/>
  <c r="F112" i="54"/>
  <c r="G112" i="54"/>
  <c r="F114" i="54"/>
  <c r="G114" i="54"/>
  <c r="F116" i="54"/>
  <c r="G116" i="54"/>
  <c r="F118" i="54"/>
  <c r="G118" i="54"/>
  <c r="U151" i="53"/>
  <c r="U153" i="53" s="1"/>
  <c r="N153" i="53"/>
  <c r="R151" i="53"/>
  <c r="R153" i="53" s="1"/>
  <c r="V151" i="53"/>
  <c r="V153" i="53" s="1"/>
  <c r="O153" i="53"/>
  <c r="AH155" i="53"/>
  <c r="AC155" i="53"/>
  <c r="AI156" i="53"/>
  <c r="AD156" i="53"/>
  <c r="AK158" i="53"/>
  <c r="AF158" i="53"/>
  <c r="AI155" i="53"/>
  <c r="AD155" i="53"/>
  <c r="AJ156" i="53"/>
  <c r="AE156" i="53"/>
  <c r="AG157" i="53"/>
  <c r="AB157" i="53"/>
  <c r="AK157" i="53"/>
  <c r="AF157" i="53"/>
  <c r="AH158" i="53"/>
  <c r="AC158" i="53"/>
  <c r="AI159" i="53"/>
  <c r="AD159" i="53"/>
  <c r="AJ160" i="53"/>
  <c r="AE160" i="53"/>
  <c r="AG161" i="53"/>
  <c r="AB161" i="53"/>
  <c r="AK161" i="53"/>
  <c r="AF161" i="53"/>
  <c r="AJ157" i="53"/>
  <c r="AE157" i="53"/>
  <c r="AJ161" i="53"/>
  <c r="AE161" i="53"/>
  <c r="AE155" i="53"/>
  <c r="AJ155" i="53"/>
  <c r="AB156" i="53"/>
  <c r="AG156" i="53"/>
  <c r="AF156" i="53"/>
  <c r="AK156" i="53"/>
  <c r="AC157" i="53"/>
  <c r="AH157" i="53"/>
  <c r="AD158" i="53"/>
  <c r="AI158" i="53"/>
  <c r="AE159" i="53"/>
  <c r="AJ159" i="53"/>
  <c r="AB160" i="53"/>
  <c r="AG160" i="53"/>
  <c r="AF160" i="53"/>
  <c r="AK160" i="53"/>
  <c r="AC161" i="53"/>
  <c r="AH161" i="53"/>
  <c r="AG158" i="53"/>
  <c r="AB158" i="53"/>
  <c r="AH159" i="53"/>
  <c r="AC159" i="53"/>
  <c r="AI160" i="53"/>
  <c r="AD160" i="53"/>
  <c r="AB155" i="53"/>
  <c r="AG155" i="53"/>
  <c r="AF155" i="53"/>
  <c r="AK155" i="53"/>
  <c r="AC156" i="53"/>
  <c r="AH156" i="53"/>
  <c r="AD157" i="53"/>
  <c r="AI157" i="53"/>
  <c r="AE158" i="53"/>
  <c r="AJ158" i="53"/>
  <c r="AG159" i="53"/>
  <c r="AB159" i="53"/>
  <c r="AF159" i="53"/>
  <c r="AK159" i="53"/>
  <c r="AH160" i="53"/>
  <c r="AC160" i="53"/>
  <c r="AD161" i="53"/>
  <c r="AI161" i="53"/>
  <c r="AK154" i="53"/>
  <c r="AJ154" i="53"/>
  <c r="AI154" i="53"/>
  <c r="AH154" i="53"/>
  <c r="AG154" i="53"/>
  <c r="AB154" i="53"/>
  <c r="AF154" i="53"/>
  <c r="AE154" i="53"/>
  <c r="AD154" i="53"/>
  <c r="AC154" i="53"/>
  <c r="F150" i="53"/>
  <c r="G150" i="53"/>
  <c r="G149" i="53"/>
  <c r="F149" i="53"/>
  <c r="G148" i="53"/>
  <c r="F148" i="53"/>
  <c r="G147" i="53"/>
  <c r="F147" i="53"/>
  <c r="F146" i="53"/>
  <c r="G146" i="53"/>
  <c r="G145" i="53"/>
  <c r="F145" i="53"/>
  <c r="F144" i="53"/>
  <c r="G144" i="53"/>
  <c r="F143" i="53"/>
  <c r="G143" i="53"/>
  <c r="G142" i="53"/>
  <c r="F142" i="53"/>
  <c r="G141" i="53"/>
  <c r="F141" i="53"/>
  <c r="G140" i="53"/>
  <c r="F140" i="53"/>
  <c r="G139" i="53"/>
  <c r="F139" i="53"/>
  <c r="G138" i="53"/>
  <c r="F138" i="53"/>
  <c r="D195" i="52"/>
  <c r="C195" i="52"/>
  <c r="B195" i="52"/>
  <c r="D194" i="52"/>
  <c r="C194" i="52"/>
  <c r="B194" i="52"/>
  <c r="D193" i="52"/>
  <c r="C193" i="52"/>
  <c r="B193" i="52"/>
  <c r="D192" i="52"/>
  <c r="C192" i="52"/>
  <c r="B192" i="52"/>
  <c r="D191" i="52"/>
  <c r="C191" i="52"/>
  <c r="B191" i="52"/>
  <c r="D190" i="52"/>
  <c r="C190" i="52"/>
  <c r="B190" i="52"/>
  <c r="D189" i="52"/>
  <c r="C189" i="52"/>
  <c r="B189" i="52"/>
  <c r="C210" i="52" a="1"/>
  <c r="C58" i="62" a="1"/>
  <c r="C232" i="52" a="1"/>
  <c r="D226" i="52" a="1"/>
  <c r="C56" i="62" a="1"/>
  <c r="C54" i="63" a="1"/>
  <c r="D56" i="63" a="1"/>
  <c r="C53" i="62" a="1"/>
  <c r="C220" i="52" a="1"/>
  <c r="D55" i="62" a="1"/>
  <c r="D54" i="63" a="1"/>
  <c r="D163" i="69" a="1"/>
  <c r="D220" i="52" a="1"/>
  <c r="D229" i="52" a="1"/>
  <c r="T154" i="53" a="1"/>
  <c r="Q154" i="53" a="1"/>
  <c r="V156" i="53" a="1"/>
  <c r="D163" i="68" a="1"/>
  <c r="C229" i="52" a="1"/>
  <c r="C54" i="62" a="1"/>
  <c r="D58" i="62" a="1"/>
  <c r="M160" i="53" a="1"/>
  <c r="D53" i="63" a="1"/>
  <c r="C224" i="52" a="1"/>
  <c r="H137" i="53"/>
  <c r="D59" i="62" a="1"/>
  <c r="S156" i="53" a="1"/>
  <c r="C231" i="74" a="1"/>
  <c r="C57" i="62" a="1"/>
  <c r="C209" i="52" a="1"/>
  <c r="U161" i="53" a="1"/>
  <c r="C53" i="63" a="1"/>
  <c r="H136" i="53"/>
  <c r="C216" i="52" a="1"/>
  <c r="C56" i="63" a="1"/>
  <c r="C55" i="63" a="1"/>
  <c r="C57" i="63" a="1"/>
  <c r="D57" i="63" a="1"/>
  <c r="D231" i="74" a="1"/>
  <c r="O155" i="53" a="1"/>
  <c r="N158" i="53" a="1"/>
  <c r="C219" i="52" a="1"/>
  <c r="R159" i="53" a="1"/>
  <c r="D56" i="62" a="1"/>
  <c r="R158" i="53" a="1"/>
  <c r="T160" i="53" a="1"/>
  <c r="C52" i="63" a="1"/>
  <c r="D54" i="62" a="1"/>
  <c r="D57" i="62" a="1"/>
  <c r="C59" i="63" a="1"/>
  <c r="D210" i="52" a="1"/>
  <c r="D219" i="52" a="1"/>
  <c r="C60" i="62" a="1"/>
  <c r="V161" i="53" a="1"/>
  <c r="V159" i="53" a="1"/>
  <c r="D58" i="63" a="1"/>
  <c r="C231" i="75" a="1"/>
  <c r="D235" i="52" a="1"/>
  <c r="C55" i="62" a="1"/>
  <c r="D55" i="63" a="1"/>
  <c r="D53" i="62" a="1"/>
  <c r="C52" i="62" a="1"/>
  <c r="D209" i="52" a="1"/>
  <c r="D224" i="52" a="1"/>
  <c r="N154" i="53" a="1"/>
  <c r="D231" i="75" a="1"/>
  <c r="S161" i="53" a="1"/>
  <c r="U160" i="53" a="1"/>
  <c r="U158" i="53" a="1"/>
  <c r="U155" i="53" a="1"/>
  <c r="O156" i="53" a="1"/>
  <c r="R157" i="53" a="1"/>
  <c r="S160" i="53" a="1"/>
  <c r="T158" i="53" a="1"/>
  <c r="R155" i="53" a="1"/>
  <c r="O161" i="53" a="1"/>
  <c r="D91" i="54" a="1"/>
  <c r="X8" i="66" l="1"/>
  <c r="X6" i="66"/>
  <c r="X7" i="66"/>
  <c r="X4" i="66"/>
  <c r="X5" i="66"/>
  <c r="D90" i="74"/>
  <c r="D231" i="75"/>
  <c r="E231" i="75" s="1"/>
  <c r="C62" i="75" s="1"/>
  <c r="AN3" i="75" s="1"/>
  <c r="AN4" i="75" s="1"/>
  <c r="D231" i="74"/>
  <c r="C231" i="75"/>
  <c r="C231" i="74"/>
  <c r="E231" i="74" s="1"/>
  <c r="C62" i="74" s="1"/>
  <c r="AN3" i="74" s="1"/>
  <c r="AN4" i="74" s="1"/>
  <c r="D163" i="69"/>
  <c r="E163" i="69" s="1"/>
  <c r="D163" i="68"/>
  <c r="H11" i="67"/>
  <c r="D50" i="67"/>
  <c r="D41" i="67"/>
  <c r="X9" i="67" s="1"/>
  <c r="C50" i="67"/>
  <c r="C41" i="67"/>
  <c r="N4" i="67" s="1"/>
  <c r="C43" i="67"/>
  <c r="J47" i="67" s="1"/>
  <c r="F41" i="67"/>
  <c r="X23" i="67" s="1"/>
  <c r="F50" i="67"/>
  <c r="D90" i="75"/>
  <c r="G50" i="67"/>
  <c r="G41" i="67"/>
  <c r="X28" i="67" s="1"/>
  <c r="E50" i="67"/>
  <c r="E41" i="67"/>
  <c r="X18" i="67" s="1"/>
  <c r="X11" i="66"/>
  <c r="X13" i="66"/>
  <c r="X16" i="66"/>
  <c r="X14" i="66"/>
  <c r="X15" i="66"/>
  <c r="X12" i="66"/>
  <c r="X10" i="66"/>
  <c r="X17" i="66"/>
  <c r="C52" i="62"/>
  <c r="B181" i="69"/>
  <c r="B181" i="68"/>
  <c r="B185" i="69"/>
  <c r="B185" i="68"/>
  <c r="B180" i="68"/>
  <c r="B180" i="69"/>
  <c r="B184" i="68"/>
  <c r="B184" i="69"/>
  <c r="B183" i="69"/>
  <c r="B183" i="68"/>
  <c r="B179" i="69"/>
  <c r="B179" i="68"/>
  <c r="B182" i="68"/>
  <c r="B182" i="69"/>
  <c r="O21" i="66"/>
  <c r="W20" i="66"/>
  <c r="A9" i="54"/>
  <c r="B6" i="54"/>
  <c r="B8" i="54" s="1"/>
  <c r="C60" i="62"/>
  <c r="D59" i="62"/>
  <c r="C210" i="52"/>
  <c r="D210" i="52"/>
  <c r="D209" i="52"/>
  <c r="C57" i="62"/>
  <c r="D56" i="62"/>
  <c r="C216" i="52"/>
  <c r="D57" i="62"/>
  <c r="C209" i="52"/>
  <c r="D54" i="62"/>
  <c r="C56" i="62"/>
  <c r="C53" i="62"/>
  <c r="C55" i="62"/>
  <c r="C58" i="62"/>
  <c r="D58" i="63"/>
  <c r="C54" i="62"/>
  <c r="D53" i="62"/>
  <c r="D55" i="62"/>
  <c r="D58" i="62"/>
  <c r="C59" i="63"/>
  <c r="C219" i="52"/>
  <c r="C220" i="52"/>
  <c r="D235" i="52"/>
  <c r="D229" i="52"/>
  <c r="C232" i="52"/>
  <c r="C224" i="52"/>
  <c r="C229" i="52"/>
  <c r="D226" i="52"/>
  <c r="D224" i="52"/>
  <c r="D220" i="52"/>
  <c r="D219" i="52"/>
  <c r="R159" i="53"/>
  <c r="R158" i="53"/>
  <c r="V161" i="53"/>
  <c r="S160" i="53"/>
  <c r="T160" i="53"/>
  <c r="U161" i="53"/>
  <c r="U160" i="53"/>
  <c r="R157" i="53"/>
  <c r="T154" i="53"/>
  <c r="V159" i="53"/>
  <c r="U158" i="53"/>
  <c r="S156" i="53"/>
  <c r="R155" i="53"/>
  <c r="S161" i="53"/>
  <c r="T158" i="53"/>
  <c r="V156" i="53"/>
  <c r="U155" i="53"/>
  <c r="D57" i="63"/>
  <c r="D54" i="63"/>
  <c r="D55" i="63"/>
  <c r="C54" i="63"/>
  <c r="D53" i="63"/>
  <c r="C56" i="63"/>
  <c r="C55" i="63"/>
  <c r="C53" i="63"/>
  <c r="D56" i="63"/>
  <c r="C57" i="63"/>
  <c r="C52" i="63"/>
  <c r="D91" i="54"/>
  <c r="O155" i="53"/>
  <c r="Q154" i="53"/>
  <c r="O161" i="53"/>
  <c r="M160" i="53"/>
  <c r="N154" i="53"/>
  <c r="N158" i="53"/>
  <c r="O156" i="53"/>
  <c r="B182" i="54"/>
  <c r="E182" i="54" s="1"/>
  <c r="B184" i="54"/>
  <c r="E184" i="54" s="1"/>
  <c r="B181" i="54"/>
  <c r="E181" i="54" s="1"/>
  <c r="B185" i="54"/>
  <c r="E185" i="54" s="1"/>
  <c r="B180" i="54"/>
  <c r="E180" i="54" s="1"/>
  <c r="B179" i="54"/>
  <c r="E179" i="54" s="1"/>
  <c r="B183" i="54"/>
  <c r="E183" i="54" s="1"/>
  <c r="B16" i="54"/>
  <c r="B49" i="54"/>
  <c r="B14" i="54"/>
  <c r="S10" i="54"/>
  <c r="S9" i="54"/>
  <c r="S12" i="54"/>
  <c r="S8" i="54"/>
  <c r="S11" i="54"/>
  <c r="S7" i="54"/>
  <c r="G137" i="53"/>
  <c r="F137" i="53"/>
  <c r="G136" i="53"/>
  <c r="F136" i="53"/>
  <c r="X8" i="67" l="1"/>
  <c r="X6" i="67"/>
  <c r="X7" i="67"/>
  <c r="X4" i="67"/>
  <c r="X5" i="67"/>
  <c r="X21" i="67"/>
  <c r="X19" i="67"/>
  <c r="X22" i="67"/>
  <c r="X20" i="67"/>
  <c r="AI24" i="67"/>
  <c r="AH24" i="67"/>
  <c r="AG24" i="67"/>
  <c r="X16" i="67"/>
  <c r="X12" i="67"/>
  <c r="X11" i="67"/>
  <c r="X13" i="67"/>
  <c r="X17" i="67"/>
  <c r="X15" i="67"/>
  <c r="X14" i="67"/>
  <c r="X10" i="67"/>
  <c r="X31" i="67"/>
  <c r="X25" i="67"/>
  <c r="X30" i="67"/>
  <c r="X27" i="67"/>
  <c r="X29" i="67"/>
  <c r="X26" i="67"/>
  <c r="X24" i="67"/>
  <c r="O22" i="66"/>
  <c r="W21" i="66"/>
  <c r="C158" i="54" a="1"/>
  <c r="D137" i="54" a="1"/>
  <c r="D182" i="54" a="1"/>
  <c r="D137" i="53" a="1"/>
  <c r="C164" i="54" a="1"/>
  <c r="C142" i="53" a="1"/>
  <c r="D107" i="54" a="1"/>
  <c r="C143" i="53" a="1"/>
  <c r="H124" i="53"/>
  <c r="D95" i="54" a="1"/>
  <c r="D118" i="54" a="1"/>
  <c r="D184" i="54" a="1"/>
  <c r="D148" i="54" a="1"/>
  <c r="D156" i="54" a="1"/>
  <c r="P159" i="53" a="1"/>
  <c r="H126" i="53"/>
  <c r="V158" i="53" a="1"/>
  <c r="S155" i="53" a="1"/>
  <c r="C122" i="54" a="1"/>
  <c r="D180" i="54" a="1"/>
  <c r="M161" i="53" a="1"/>
  <c r="C95" i="54" a="1"/>
  <c r="C110" i="54" a="1"/>
  <c r="D138" i="54" a="1"/>
  <c r="D183" i="54" a="1"/>
  <c r="U154" i="53" a="1"/>
  <c r="P157" i="53" a="1"/>
  <c r="D143" i="53" a="1"/>
  <c r="D164" i="54" a="1"/>
  <c r="D232" i="52" a="1"/>
  <c r="D152" i="54" a="1"/>
  <c r="H123" i="53"/>
  <c r="C138" i="53" a="1"/>
  <c r="N156" i="53" a="1"/>
  <c r="Q158" i="53" a="1"/>
  <c r="C148" i="54" a="1"/>
  <c r="D96" i="54" a="1"/>
  <c r="O160" i="53" a="1"/>
  <c r="C135" i="54" a="1"/>
  <c r="C138" i="54" a="1"/>
  <c r="D108" i="54" a="1"/>
  <c r="R156" i="53" a="1"/>
  <c r="D142" i="53" a="1"/>
  <c r="C173" i="54" a="1"/>
  <c r="D138" i="53" a="1"/>
  <c r="Q161" i="53" a="1"/>
  <c r="C126" i="54" a="1"/>
  <c r="C234" i="52" a="1"/>
  <c r="C157" i="54" a="1"/>
  <c r="D119" i="54" a="1"/>
  <c r="C146" i="53" a="1"/>
  <c r="O158" i="53" a="1"/>
  <c r="D231" i="52" a="1"/>
  <c r="D145" i="54" a="1"/>
  <c r="D141" i="53" a="1"/>
  <c r="C227" i="52" a="1"/>
  <c r="D179" i="54" a="1"/>
  <c r="C108" i="54" a="1"/>
  <c r="C141" i="54" a="1"/>
  <c r="N157" i="53" a="1"/>
  <c r="C118" i="54" a="1"/>
  <c r="C235" i="52" a="1"/>
  <c r="S154" i="53" a="1"/>
  <c r="C154" i="54" a="1"/>
  <c r="D100" i="54" a="1"/>
  <c r="C96" i="54" a="1"/>
  <c r="C124" i="54" a="1"/>
  <c r="C156" i="54" a="1"/>
  <c r="D227" i="52" a="1"/>
  <c r="H125" i="53"/>
  <c r="V155" i="53" a="1"/>
  <c r="C98" i="54" a="1"/>
  <c r="C97" i="54" a="1"/>
  <c r="D99" i="54" a="1"/>
  <c r="C112" i="54" a="1"/>
  <c r="D109" i="54" a="1"/>
  <c r="C225" i="52" a="1"/>
  <c r="D161" i="54" a="1"/>
  <c r="C140" i="53" a="1"/>
  <c r="C121" i="54" a="1"/>
  <c r="T155" i="53" a="1"/>
  <c r="Q156" i="53" a="1"/>
  <c r="C104" i="54" a="1"/>
  <c r="C92" i="54" a="1"/>
  <c r="C149" i="53" a="1"/>
  <c r="D102" i="54" a="1"/>
  <c r="C139" i="53" a="1"/>
  <c r="C167" i="54" a="1"/>
  <c r="C106" i="54" a="1"/>
  <c r="C91" i="54" a="1"/>
  <c r="D121" i="54" a="1"/>
  <c r="D151" i="54" a="1"/>
  <c r="D150" i="54" a="1"/>
  <c r="H127" i="53"/>
  <c r="C179" i="54" a="1"/>
  <c r="D139" i="54" a="1"/>
  <c r="O157" i="53" a="1"/>
  <c r="C233" i="52" a="1"/>
  <c r="Q155" i="53" a="1"/>
  <c r="C176" i="54" a="1"/>
  <c r="C143" i="54" a="1"/>
  <c r="D135" i="54" a="1"/>
  <c r="D140" i="53" a="1"/>
  <c r="S158" i="53" a="1"/>
  <c r="Q157" i="53" a="1"/>
  <c r="C144" i="53" a="1"/>
  <c r="T159" i="53" a="1"/>
  <c r="R160" i="53" a="1"/>
  <c r="D144" i="53" a="1"/>
  <c r="D125" i="54" a="1"/>
  <c r="N155" i="53" a="1"/>
  <c r="D106" i="54" a="1"/>
  <c r="Q160" i="53" a="1"/>
  <c r="D147" i="53" a="1"/>
  <c r="D225" i="52" a="1"/>
  <c r="D139" i="53" a="1"/>
  <c r="C117" i="54" a="1"/>
  <c r="D170" i="54" a="1"/>
  <c r="D144" i="54" a="1"/>
  <c r="D173" i="54" a="1"/>
  <c r="C178" i="54" a="1"/>
  <c r="C120" i="54" a="1"/>
  <c r="C145" i="54" a="1"/>
  <c r="D150" i="53" a="1"/>
  <c r="C183" i="54" a="1"/>
  <c r="C185" i="54" a="1"/>
  <c r="D160" i="54" a="1"/>
  <c r="D126" i="54" a="1"/>
  <c r="C226" i="52" a="1"/>
  <c r="D133" i="54" a="1"/>
  <c r="P158" i="53" a="1"/>
  <c r="D228" i="52" a="1"/>
  <c r="C182" i="54" a="1"/>
  <c r="D104" i="54" a="1"/>
  <c r="D165" i="54" a="1"/>
  <c r="C125" i="54" a="1"/>
  <c r="U156" i="53" a="1"/>
  <c r="C145" i="53" a="1"/>
  <c r="D112" i="54" a="1"/>
  <c r="C109" i="54" a="1"/>
  <c r="D111" i="54" a="1"/>
  <c r="C119" i="54" a="1"/>
  <c r="C129" i="54" a="1"/>
  <c r="D113" i="54" a="1"/>
  <c r="P154" i="53" a="1"/>
  <c r="C150" i="53" a="1"/>
  <c r="V157" i="53" a="1"/>
  <c r="D105" i="54" a="1"/>
  <c r="C170" i="54" a="1"/>
  <c r="D120" i="54" a="1"/>
  <c r="C133" i="54" a="1"/>
  <c r="D101" i="54" a="1"/>
  <c r="S157" i="53" a="1"/>
  <c r="C114" i="54" a="1"/>
  <c r="D159" i="54" a="1"/>
  <c r="T157" i="53" a="1"/>
  <c r="C141" i="53" a="1"/>
  <c r="C147" i="53" a="1"/>
  <c r="D157" i="54" a="1"/>
  <c r="D233" i="52" a="1"/>
  <c r="D176" i="54" a="1"/>
  <c r="M157" i="53" a="1"/>
  <c r="D142" i="54" a="1"/>
  <c r="M154" i="53" a="1"/>
  <c r="C101" i="54" a="1"/>
  <c r="T156" i="53" a="1"/>
  <c r="N160" i="53" a="1"/>
  <c r="C180" i="54" a="1"/>
  <c r="C128" i="54" a="1"/>
  <c r="D132" i="54" a="1"/>
  <c r="M159" i="53" a="1"/>
  <c r="D178" i="54" a="1"/>
  <c r="D128" i="54" a="1"/>
  <c r="D131" i="54" a="1"/>
  <c r="C115" i="54" a="1"/>
  <c r="C136" i="53" a="1"/>
  <c r="C107" i="54" a="1"/>
  <c r="C139" i="54" a="1"/>
  <c r="D166" i="54" a="1"/>
  <c r="D234" i="52" a="1"/>
  <c r="D115" i="54" a="1"/>
  <c r="D146" i="53" a="1"/>
  <c r="C137" i="54" a="1"/>
  <c r="D97" i="54" a="1"/>
  <c r="C181" i="54" a="1"/>
  <c r="C131" i="54" a="1"/>
  <c r="C113" i="54" a="1"/>
  <c r="C149" i="54" a="1"/>
  <c r="D127" i="54" a="1"/>
  <c r="C93" i="54" a="1"/>
  <c r="D136" i="54" a="1"/>
  <c r="C116" i="54" a="1"/>
  <c r="D92" i="54" a="1"/>
  <c r="P155" i="53" a="1"/>
  <c r="C184" i="54" a="1"/>
  <c r="M156" i="53" a="1"/>
  <c r="D167" i="54" a="1"/>
  <c r="D163" i="54" a="1"/>
  <c r="C142" i="54" a="1"/>
  <c r="C151" i="54" a="1"/>
  <c r="R154" i="53" a="1"/>
  <c r="D98" i="54" a="1"/>
  <c r="D145" i="53" a="1"/>
  <c r="C150" i="54" a="1"/>
  <c r="P161" i="53" a="1"/>
  <c r="D136" i="53" a="1"/>
  <c r="C102" i="54" a="1"/>
  <c r="D122" i="54" a="1"/>
  <c r="M155" i="53" a="1"/>
  <c r="H131" i="53"/>
  <c r="D148" i="53" a="1"/>
  <c r="D177" i="54" a="1"/>
  <c r="C166" i="54" a="1"/>
  <c r="D93" i="54" a="1"/>
  <c r="D124" i="54" a="1"/>
  <c r="C111" i="54" a="1"/>
  <c r="P156" i="53" a="1"/>
  <c r="C132" i="54" a="1"/>
  <c r="C144" i="54" a="1"/>
  <c r="C165" i="54" a="1"/>
  <c r="C177" i="54" a="1"/>
  <c r="D141" i="54" a="1"/>
  <c r="C159" i="54" a="1"/>
  <c r="D154" i="54" a="1"/>
  <c r="O159" i="53" a="1"/>
  <c r="D110" i="54" a="1"/>
  <c r="D147" i="54" a="1"/>
  <c r="D149" i="54" a="1"/>
  <c r="C127" i="54" a="1"/>
  <c r="C105" i="54" a="1"/>
  <c r="V154" i="53" a="1"/>
  <c r="C136" i="54" a="1"/>
  <c r="U159" i="53" a="1"/>
  <c r="S159" i="53" a="1"/>
  <c r="C148" i="53" a="1"/>
  <c r="M158" i="53" a="1"/>
  <c r="C137" i="53" a="1"/>
  <c r="C146" i="54" a="1"/>
  <c r="D140" i="54" a="1"/>
  <c r="O154" i="53" a="1"/>
  <c r="N159" i="53" a="1"/>
  <c r="C134" i="54" a="1"/>
  <c r="D114" i="54" a="1"/>
  <c r="V160" i="53" a="1"/>
  <c r="Q159" i="53" a="1"/>
  <c r="C140" i="54" a="1"/>
  <c r="D146" i="54" a="1"/>
  <c r="D134" i="54" a="1"/>
  <c r="C94" i="54" a="1"/>
  <c r="D117" i="54" a="1"/>
  <c r="D116" i="54" a="1"/>
  <c r="C99" i="54" a="1"/>
  <c r="C130" i="54" a="1"/>
  <c r="D129" i="54" a="1"/>
  <c r="P160" i="53" a="1"/>
  <c r="C228" i="52" a="1"/>
  <c r="C152" i="54" a="1"/>
  <c r="C100" i="54" a="1"/>
  <c r="D94" i="54" a="1"/>
  <c r="D149" i="53" a="1"/>
  <c r="D185" i="54" a="1"/>
  <c r="T161" i="53" a="1"/>
  <c r="C161" i="54" a="1"/>
  <c r="R161" i="53" a="1"/>
  <c r="U157" i="53" a="1"/>
  <c r="D143" i="54" a="1"/>
  <c r="D181" i="54" a="1"/>
  <c r="N161" i="53" a="1"/>
  <c r="C147" i="54" a="1"/>
  <c r="C160" i="54" a="1"/>
  <c r="D130" i="54" a="1"/>
  <c r="C163" i="54" a="1"/>
  <c r="S158" i="53" l="1"/>
  <c r="C185" i="54"/>
  <c r="C139" i="53"/>
  <c r="M161" i="53"/>
  <c r="C94" i="54"/>
  <c r="M154" i="53"/>
  <c r="C177" i="54"/>
  <c r="D165" i="54"/>
  <c r="D135" i="54"/>
  <c r="C128" i="54"/>
  <c r="D100" i="54"/>
  <c r="D143" i="53"/>
  <c r="D98" i="54"/>
  <c r="D141" i="54"/>
  <c r="D128" i="54"/>
  <c r="O157" i="53"/>
  <c r="D183" i="54"/>
  <c r="D179" i="54"/>
  <c r="Q157" i="53"/>
  <c r="C158" i="54"/>
  <c r="D96" i="54"/>
  <c r="D176" i="54"/>
  <c r="P161" i="53"/>
  <c r="D234" i="52"/>
  <c r="D161" i="54"/>
  <c r="C151" i="54"/>
  <c r="C104" i="54"/>
  <c r="D159" i="54"/>
  <c r="V154" i="53"/>
  <c r="D109" i="54"/>
  <c r="D114" i="54"/>
  <c r="M159" i="53"/>
  <c r="C125" i="54"/>
  <c r="C234" i="52"/>
  <c r="C132" i="54"/>
  <c r="P157" i="53"/>
  <c r="D102" i="54"/>
  <c r="T159" i="53"/>
  <c r="D106" i="54"/>
  <c r="O160" i="53"/>
  <c r="C117" i="54"/>
  <c r="C145" i="54"/>
  <c r="D104" i="54"/>
  <c r="D149" i="53"/>
  <c r="C154" i="54"/>
  <c r="D184" i="54"/>
  <c r="C102" i="54"/>
  <c r="D116" i="54"/>
  <c r="P156" i="53"/>
  <c r="D233" i="52"/>
  <c r="C145" i="53"/>
  <c r="C136" i="54"/>
  <c r="C108" i="54"/>
  <c r="P159" i="53"/>
  <c r="D150" i="54"/>
  <c r="C110" i="54"/>
  <c r="C165" i="54"/>
  <c r="M158" i="53"/>
  <c r="D225" i="52"/>
  <c r="C127" i="54"/>
  <c r="C96" i="54"/>
  <c r="M157" i="53"/>
  <c r="C99" i="54"/>
  <c r="C225" i="52"/>
  <c r="N155" i="53"/>
  <c r="R154" i="53"/>
  <c r="D232" i="52"/>
  <c r="C106" i="54"/>
  <c r="C98" i="54"/>
  <c r="D122" i="54"/>
  <c r="D136" i="54"/>
  <c r="C179" i="54"/>
  <c r="C109" i="54"/>
  <c r="C131" i="54"/>
  <c r="D97" i="54"/>
  <c r="C228" i="52"/>
  <c r="C147" i="54"/>
  <c r="D119" i="54"/>
  <c r="T161" i="53"/>
  <c r="D126" i="54"/>
  <c r="C164" i="54"/>
  <c r="D140" i="53"/>
  <c r="U159" i="53"/>
  <c r="C149" i="53"/>
  <c r="C182" i="54"/>
  <c r="C170" i="54"/>
  <c r="C114" i="54"/>
  <c r="C156" i="54"/>
  <c r="C144" i="54"/>
  <c r="R161" i="53"/>
  <c r="D145" i="54"/>
  <c r="M155" i="53"/>
  <c r="D124" i="54"/>
  <c r="Q160" i="53"/>
  <c r="C120" i="54"/>
  <c r="D146" i="54"/>
  <c r="O159" i="53"/>
  <c r="D138" i="53"/>
  <c r="C107" i="54"/>
  <c r="C133" i="54"/>
  <c r="C134" i="54"/>
  <c r="C183" i="54"/>
  <c r="C101" i="54"/>
  <c r="S154" i="53"/>
  <c r="C138" i="53"/>
  <c r="C227" i="52"/>
  <c r="D182" i="54"/>
  <c r="C93" i="54"/>
  <c r="Q158" i="53"/>
  <c r="C176" i="54"/>
  <c r="D95" i="54"/>
  <c r="D149" i="54"/>
  <c r="R160" i="53"/>
  <c r="C148" i="54"/>
  <c r="Q155" i="53"/>
  <c r="C129" i="54"/>
  <c r="C178" i="54"/>
  <c r="D139" i="53"/>
  <c r="C150" i="53"/>
  <c r="C150" i="54"/>
  <c r="D137" i="54"/>
  <c r="O154" i="53"/>
  <c r="C142" i="54"/>
  <c r="D146" i="53"/>
  <c r="D144" i="54"/>
  <c r="C130" i="54"/>
  <c r="C163" i="54"/>
  <c r="T157" i="53"/>
  <c r="D127" i="54"/>
  <c r="U157" i="53"/>
  <c r="C121" i="54"/>
  <c r="C148" i="53"/>
  <c r="D142" i="53"/>
  <c r="D157" i="54"/>
  <c r="V155" i="53"/>
  <c r="C141" i="54"/>
  <c r="C226" i="52"/>
  <c r="D101" i="54"/>
  <c r="O158" i="53"/>
  <c r="D180" i="54"/>
  <c r="D125" i="54"/>
  <c r="C139" i="54"/>
  <c r="D147" i="53"/>
  <c r="T156" i="53"/>
  <c r="C111" i="54"/>
  <c r="N156" i="53"/>
  <c r="D121" i="54"/>
  <c r="C119" i="54"/>
  <c r="U154" i="53"/>
  <c r="D151" i="54"/>
  <c r="C143" i="54"/>
  <c r="C143" i="53"/>
  <c r="D147" i="54"/>
  <c r="C140" i="53"/>
  <c r="N159" i="53"/>
  <c r="C147" i="53"/>
  <c r="D134" i="54"/>
  <c r="V158" i="53"/>
  <c r="D118" i="54"/>
  <c r="D181" i="54"/>
  <c r="S157" i="53"/>
  <c r="D141" i="53"/>
  <c r="D92" i="54"/>
  <c r="C97" i="54"/>
  <c r="D110" i="54"/>
  <c r="D163" i="54"/>
  <c r="G131" i="53"/>
  <c r="F131" i="53"/>
  <c r="C135" i="54"/>
  <c r="C100" i="54"/>
  <c r="D93" i="54"/>
  <c r="D185" i="54"/>
  <c r="D227" i="52"/>
  <c r="D164" i="54"/>
  <c r="C126" i="54"/>
  <c r="C142" i="53"/>
  <c r="C141" i="53"/>
  <c r="T155" i="53"/>
  <c r="C138" i="54"/>
  <c r="D148" i="53"/>
  <c r="D94" i="54"/>
  <c r="D139" i="54"/>
  <c r="D138" i="54"/>
  <c r="C137" i="54"/>
  <c r="D140" i="54"/>
  <c r="D170" i="54"/>
  <c r="C233" i="52"/>
  <c r="C144" i="53"/>
  <c r="N161" i="53"/>
  <c r="C149" i="54"/>
  <c r="M156" i="53"/>
  <c r="D173" i="54"/>
  <c r="C184" i="54"/>
  <c r="C152" i="54"/>
  <c r="D115" i="54"/>
  <c r="C146" i="54"/>
  <c r="C112" i="54"/>
  <c r="P158" i="53"/>
  <c r="D148" i="54"/>
  <c r="D145" i="53"/>
  <c r="D112" i="54"/>
  <c r="D166" i="54"/>
  <c r="C113" i="54"/>
  <c r="C167" i="54"/>
  <c r="D133" i="54"/>
  <c r="C105" i="54"/>
  <c r="D167" i="54"/>
  <c r="C122" i="54"/>
  <c r="Q156" i="53"/>
  <c r="C181" i="54"/>
  <c r="C173" i="54"/>
  <c r="C157" i="54"/>
  <c r="S159" i="53"/>
  <c r="C124" i="54"/>
  <c r="D108" i="54"/>
  <c r="D120" i="54"/>
  <c r="D107" i="54"/>
  <c r="D105" i="54"/>
  <c r="D143" i="54"/>
  <c r="D111" i="54"/>
  <c r="V160" i="53"/>
  <c r="R156" i="53"/>
  <c r="S155" i="53"/>
  <c r="C146" i="53"/>
  <c r="C161" i="54"/>
  <c r="D132" i="54"/>
  <c r="D228" i="52"/>
  <c r="C116" i="54"/>
  <c r="D144" i="53"/>
  <c r="D129" i="54"/>
  <c r="D117" i="54"/>
  <c r="N160" i="53"/>
  <c r="V157" i="53"/>
  <c r="D152" i="54"/>
  <c r="C235" i="52"/>
  <c r="C115" i="54"/>
  <c r="C95" i="54"/>
  <c r="Q159" i="53"/>
  <c r="D178" i="54"/>
  <c r="D113" i="54"/>
  <c r="D160" i="54"/>
  <c r="C160" i="54"/>
  <c r="D154" i="54"/>
  <c r="C180" i="54"/>
  <c r="C166" i="54"/>
  <c r="C140" i="54"/>
  <c r="D99" i="54"/>
  <c r="D177" i="54"/>
  <c r="U156" i="53"/>
  <c r="D231" i="52"/>
  <c r="Q161" i="53"/>
  <c r="D142" i="54"/>
  <c r="D150" i="53"/>
  <c r="N157" i="53"/>
  <c r="P155" i="53"/>
  <c r="C92" i="54"/>
  <c r="C91" i="54"/>
  <c r="D131" i="54"/>
  <c r="P154" i="53"/>
  <c r="D156" i="54"/>
  <c r="P160" i="53"/>
  <c r="D130" i="54"/>
  <c r="C159" i="54"/>
  <c r="C118" i="54"/>
  <c r="O23" i="66"/>
  <c r="W22" i="66"/>
  <c r="C137" i="53"/>
  <c r="D137" i="53"/>
  <c r="C136" i="53"/>
  <c r="D136" i="53"/>
  <c r="E141" i="53"/>
  <c r="E143" i="53"/>
  <c r="E145" i="53"/>
  <c r="E147" i="53"/>
  <c r="E149" i="53"/>
  <c r="E142" i="53"/>
  <c r="F126" i="53"/>
  <c r="G126" i="53"/>
  <c r="F124" i="53"/>
  <c r="G124" i="53"/>
  <c r="F125" i="53"/>
  <c r="G125" i="53"/>
  <c r="F123" i="53"/>
  <c r="G123" i="53"/>
  <c r="G127" i="53"/>
  <c r="F127" i="53"/>
  <c r="D131" i="53" a="1"/>
  <c r="C131" i="53" a="1"/>
  <c r="O24" i="66" l="1"/>
  <c r="W23" i="66"/>
  <c r="X19" i="66"/>
  <c r="X20" i="66"/>
  <c r="X21" i="66"/>
  <c r="X22" i="66"/>
  <c r="C131" i="53"/>
  <c r="D131" i="53"/>
  <c r="C124" i="53" a="1"/>
  <c r="H99" i="53"/>
  <c r="H92" i="53"/>
  <c r="H106" i="53"/>
  <c r="D123" i="53" a="1"/>
  <c r="C126" i="53" a="1"/>
  <c r="C125" i="53" a="1"/>
  <c r="H93" i="53"/>
  <c r="H103" i="53"/>
  <c r="D124" i="53" a="1"/>
  <c r="H95" i="53"/>
  <c r="H94" i="53"/>
  <c r="C127" i="53" a="1"/>
  <c r="D127" i="53" a="1"/>
  <c r="H111" i="53"/>
  <c r="D125" i="53" a="1"/>
  <c r="H102" i="53"/>
  <c r="H96" i="53"/>
  <c r="C123" i="53" a="1"/>
  <c r="H97" i="53"/>
  <c r="D126" i="53" a="1"/>
  <c r="O25" i="66" l="1"/>
  <c r="W24" i="66"/>
  <c r="C123" i="53"/>
  <c r="C127" i="53"/>
  <c r="D126" i="53"/>
  <c r="D127" i="53"/>
  <c r="D123" i="53"/>
  <c r="C125" i="53"/>
  <c r="C124" i="53"/>
  <c r="C126" i="53"/>
  <c r="D125" i="53"/>
  <c r="D124" i="53"/>
  <c r="G97" i="53"/>
  <c r="F97" i="53"/>
  <c r="G93" i="53"/>
  <c r="F93" i="53"/>
  <c r="G96" i="53"/>
  <c r="F96" i="53"/>
  <c r="F94" i="53"/>
  <c r="G94" i="53"/>
  <c r="F95" i="53"/>
  <c r="G95" i="53"/>
  <c r="G92" i="53"/>
  <c r="F92" i="53"/>
  <c r="G103" i="53"/>
  <c r="F103" i="53"/>
  <c r="F102" i="53"/>
  <c r="G102" i="53"/>
  <c r="F106" i="53"/>
  <c r="G106" i="53"/>
  <c r="G99" i="53"/>
  <c r="F99" i="53"/>
  <c r="F111" i="53"/>
  <c r="G111" i="53"/>
  <c r="D90" i="53"/>
  <c r="C90" i="53"/>
  <c r="B90" i="53"/>
  <c r="D47" i="59"/>
  <c r="C47" i="59"/>
  <c r="B47" i="59"/>
  <c r="H130" i="53"/>
  <c r="H108" i="53"/>
  <c r="H133" i="53"/>
  <c r="H109" i="53"/>
  <c r="H128" i="53"/>
  <c r="H101" i="53"/>
  <c r="H115" i="53"/>
  <c r="H105" i="53"/>
  <c r="H119" i="53"/>
  <c r="H49" i="59"/>
  <c r="H107" i="53"/>
  <c r="H117" i="53"/>
  <c r="H118" i="53"/>
  <c r="H53" i="59"/>
  <c r="H54" i="59"/>
  <c r="H112" i="53"/>
  <c r="H110" i="53"/>
  <c r="H57" i="59"/>
  <c r="H116" i="53"/>
  <c r="H98" i="53"/>
  <c r="H104" i="53"/>
  <c r="H48" i="59"/>
  <c r="H52" i="59"/>
  <c r="H135" i="53"/>
  <c r="H55" i="59"/>
  <c r="H50" i="59"/>
  <c r="H120" i="53"/>
  <c r="H121" i="53"/>
  <c r="H100" i="53"/>
  <c r="H132" i="53"/>
  <c r="H129" i="53"/>
  <c r="H114" i="53"/>
  <c r="H91" i="53"/>
  <c r="H51" i="59"/>
  <c r="H56" i="59"/>
  <c r="H134" i="53"/>
  <c r="H122" i="53"/>
  <c r="H113" i="53"/>
  <c r="H58" i="59"/>
  <c r="F48" i="59" l="1"/>
  <c r="I57" i="59"/>
  <c r="G57" i="59" s="1"/>
  <c r="I58" i="59"/>
  <c r="G58" i="59" s="1"/>
  <c r="I50" i="59"/>
  <c r="G50" i="59" s="1"/>
  <c r="I53" i="59"/>
  <c r="G53" i="59" s="1"/>
  <c r="I52" i="59"/>
  <c r="G52" i="59" s="1"/>
  <c r="I54" i="59"/>
  <c r="G54" i="59" s="1"/>
  <c r="I49" i="59"/>
  <c r="G49" i="59" s="1"/>
  <c r="I56" i="59"/>
  <c r="G56" i="59" s="1"/>
  <c r="I51" i="59"/>
  <c r="G51" i="59" s="1"/>
  <c r="I55" i="59"/>
  <c r="G55" i="59" s="1"/>
  <c r="I48" i="59"/>
  <c r="G48" i="59" s="1"/>
  <c r="O26" i="66"/>
  <c r="W25" i="66"/>
  <c r="F58" i="59"/>
  <c r="F55" i="59"/>
  <c r="F52" i="59"/>
  <c r="F51" i="59"/>
  <c r="F57" i="59"/>
  <c r="F49" i="59"/>
  <c r="F56" i="59"/>
  <c r="F50" i="59"/>
  <c r="F54" i="59"/>
  <c r="F53" i="59"/>
  <c r="E150" i="53"/>
  <c r="E148" i="53"/>
  <c r="E146" i="53"/>
  <c r="E144" i="53"/>
  <c r="G135" i="53"/>
  <c r="F135" i="53"/>
  <c r="G134" i="53"/>
  <c r="F134" i="53"/>
  <c r="G133" i="53"/>
  <c r="F133" i="53"/>
  <c r="G132" i="53"/>
  <c r="F132" i="53"/>
  <c r="G130" i="53"/>
  <c r="F130" i="53"/>
  <c r="G129" i="53"/>
  <c r="F129" i="53"/>
  <c r="G128" i="53"/>
  <c r="F128" i="53"/>
  <c r="G122" i="53"/>
  <c r="F122" i="53"/>
  <c r="G121" i="53"/>
  <c r="F121" i="53"/>
  <c r="F120" i="53"/>
  <c r="G120" i="53"/>
  <c r="G119" i="53"/>
  <c r="F119" i="53"/>
  <c r="G118" i="53"/>
  <c r="F118" i="53"/>
  <c r="G117" i="53"/>
  <c r="F117" i="53"/>
  <c r="G116" i="53"/>
  <c r="F116" i="53"/>
  <c r="G115" i="53"/>
  <c r="F115" i="53"/>
  <c r="G114" i="53"/>
  <c r="F114" i="53"/>
  <c r="G113" i="53"/>
  <c r="F113" i="53"/>
  <c r="G109" i="53"/>
  <c r="F109" i="53"/>
  <c r="G98" i="53"/>
  <c r="F98" i="53"/>
  <c r="G108" i="53"/>
  <c r="F108" i="53"/>
  <c r="G104" i="53"/>
  <c r="F104" i="53"/>
  <c r="G110" i="53"/>
  <c r="F110" i="53"/>
  <c r="G107" i="53"/>
  <c r="F107" i="53"/>
  <c r="G105" i="53"/>
  <c r="F105" i="53"/>
  <c r="G91" i="53"/>
  <c r="F91" i="53"/>
  <c r="F112" i="53"/>
  <c r="G112" i="53"/>
  <c r="G100" i="53"/>
  <c r="F100" i="53"/>
  <c r="G101" i="53"/>
  <c r="F101" i="53"/>
  <c r="D49" i="59" a="1"/>
  <c r="D58" i="59" a="1"/>
  <c r="C49" i="59" a="1"/>
  <c r="C51" i="59" a="1"/>
  <c r="C56" i="59" a="1"/>
  <c r="C97" i="53" a="1"/>
  <c r="D102" i="53" a="1"/>
  <c r="C94" i="53" a="1"/>
  <c r="D96" i="53" a="1"/>
  <c r="D93" i="53" a="1"/>
  <c r="D97" i="53" a="1"/>
  <c r="C95" i="53" a="1"/>
  <c r="C106" i="53" a="1"/>
  <c r="D94" i="53" a="1"/>
  <c r="D99" i="53" a="1"/>
  <c r="D92" i="53" a="1"/>
  <c r="D95" i="53" a="1"/>
  <c r="C93" i="53" a="1"/>
  <c r="C92" i="53" a="1"/>
  <c r="C99" i="53" a="1"/>
  <c r="C91" i="53" a="1"/>
  <c r="D106" i="53" a="1"/>
  <c r="C96" i="53" a="1"/>
  <c r="C111" i="53" a="1"/>
  <c r="D111" i="53" a="1"/>
  <c r="C102" i="53" a="1"/>
  <c r="C49" i="59" l="1"/>
  <c r="O27" i="66"/>
  <c r="W26" i="66"/>
  <c r="C51" i="59"/>
  <c r="D49" i="59"/>
  <c r="D58" i="59"/>
  <c r="C56" i="59"/>
  <c r="D94" i="53"/>
  <c r="D99" i="53"/>
  <c r="D106" i="53"/>
  <c r="D97" i="53"/>
  <c r="C102" i="53"/>
  <c r="C92" i="53"/>
  <c r="C95" i="53"/>
  <c r="C111" i="53"/>
  <c r="C96" i="53"/>
  <c r="D102" i="53"/>
  <c r="D92" i="53"/>
  <c r="D95" i="53"/>
  <c r="D111" i="53"/>
  <c r="D96" i="53"/>
  <c r="C94" i="53"/>
  <c r="C93" i="53"/>
  <c r="C99" i="53"/>
  <c r="C106" i="53"/>
  <c r="C97" i="53"/>
  <c r="D93" i="53"/>
  <c r="C91" i="53"/>
  <c r="E111" i="53"/>
  <c r="E97" i="53"/>
  <c r="E102" i="53"/>
  <c r="D55" i="59" a="1"/>
  <c r="D56" i="59" a="1"/>
  <c r="D51" i="59" a="1"/>
  <c r="D57" i="59" a="1"/>
  <c r="C58" i="59" a="1"/>
  <c r="C55" i="59" a="1"/>
  <c r="C57" i="59" a="1"/>
  <c r="C134" i="53" a="1"/>
  <c r="C122" i="53" a="1"/>
  <c r="C128" i="53" a="1"/>
  <c r="D110" i="53" a="1"/>
  <c r="D113" i="53" a="1"/>
  <c r="C130" i="53" a="1"/>
  <c r="C116" i="53" a="1"/>
  <c r="C101" i="53" a="1"/>
  <c r="C98" i="53" a="1"/>
  <c r="D108" i="53" a="1"/>
  <c r="D121" i="53" a="1"/>
  <c r="C120" i="53" a="1"/>
  <c r="D107" i="53" a="1"/>
  <c r="D134" i="53" a="1"/>
  <c r="D119" i="53" a="1"/>
  <c r="D129" i="53" a="1"/>
  <c r="D120" i="53" a="1"/>
  <c r="C105" i="53" a="1"/>
  <c r="C113" i="53" a="1"/>
  <c r="C132" i="53" a="1"/>
  <c r="C118" i="53" a="1"/>
  <c r="C104" i="53" a="1"/>
  <c r="D105" i="53" a="1"/>
  <c r="D128" i="53" a="1"/>
  <c r="C110" i="53" a="1"/>
  <c r="D116" i="53" a="1"/>
  <c r="C133" i="53" a="1"/>
  <c r="D104" i="53" a="1"/>
  <c r="D118" i="53" a="1"/>
  <c r="D101" i="53" a="1"/>
  <c r="C117" i="53" a="1"/>
  <c r="D130" i="53" a="1"/>
  <c r="D133" i="53" a="1"/>
  <c r="D109" i="53" a="1"/>
  <c r="D115" i="53" a="1"/>
  <c r="C115" i="53" a="1"/>
  <c r="D122" i="53" a="1"/>
  <c r="C129" i="53" a="1"/>
  <c r="C121" i="53" a="1"/>
  <c r="D117" i="53" a="1"/>
  <c r="C108" i="53" a="1"/>
  <c r="D114" i="53" a="1"/>
  <c r="D100" i="53" a="1"/>
  <c r="C112" i="53" a="1"/>
  <c r="C100" i="53" a="1"/>
  <c r="C114" i="53" a="1"/>
  <c r="D98" i="53" a="1"/>
  <c r="D132" i="53" a="1"/>
  <c r="D112" i="53" a="1"/>
  <c r="C109" i="53" a="1"/>
  <c r="D91" i="53" a="1"/>
  <c r="C119" i="53" a="1"/>
  <c r="C107" i="53" a="1"/>
  <c r="O28" i="66" l="1"/>
  <c r="W27" i="66"/>
  <c r="C58" i="59"/>
  <c r="D57" i="59"/>
  <c r="D59" i="59" s="1"/>
  <c r="C57" i="59"/>
  <c r="C59" i="59" s="1"/>
  <c r="D56" i="59"/>
  <c r="C55" i="59"/>
  <c r="C61" i="59" s="1"/>
  <c r="D55" i="59"/>
  <c r="D61" i="59" s="1"/>
  <c r="D51" i="59"/>
  <c r="D112" i="53"/>
  <c r="D132" i="53"/>
  <c r="D122" i="53"/>
  <c r="D116" i="53"/>
  <c r="D109" i="53"/>
  <c r="D110" i="53"/>
  <c r="D101" i="53"/>
  <c r="D133" i="53"/>
  <c r="D128" i="53"/>
  <c r="D119" i="53"/>
  <c r="D115" i="53"/>
  <c r="D98" i="53"/>
  <c r="D107" i="53"/>
  <c r="C120" i="53"/>
  <c r="C134" i="53"/>
  <c r="C118" i="53"/>
  <c r="C108" i="53"/>
  <c r="C105" i="53"/>
  <c r="C130" i="53"/>
  <c r="C121" i="53"/>
  <c r="C117" i="53"/>
  <c r="C113" i="53"/>
  <c r="C104" i="53"/>
  <c r="D91" i="53"/>
  <c r="D120" i="53"/>
  <c r="C129" i="53"/>
  <c r="C114" i="53"/>
  <c r="D134" i="53"/>
  <c r="D129" i="53"/>
  <c r="D118" i="53"/>
  <c r="D114" i="53"/>
  <c r="D108" i="53"/>
  <c r="D105" i="53"/>
  <c r="D130" i="53"/>
  <c r="D121" i="53"/>
  <c r="D117" i="53"/>
  <c r="D113" i="53"/>
  <c r="D104" i="53"/>
  <c r="C100" i="53"/>
  <c r="C112" i="53"/>
  <c r="C132" i="53"/>
  <c r="C122" i="53"/>
  <c r="C116" i="53"/>
  <c r="C109" i="53"/>
  <c r="C110" i="53"/>
  <c r="C101" i="53"/>
  <c r="C133" i="53"/>
  <c r="C128" i="53"/>
  <c r="C119" i="53"/>
  <c r="C115" i="53"/>
  <c r="C98" i="53"/>
  <c r="C107" i="53"/>
  <c r="D100" i="53"/>
  <c r="E99" i="53"/>
  <c r="E133" i="53"/>
  <c r="E132" i="53"/>
  <c r="I35" i="53" s="1"/>
  <c r="E119" i="53"/>
  <c r="E98" i="53"/>
  <c r="E107" i="53"/>
  <c r="O29" i="66" l="1"/>
  <c r="W28" i="66"/>
  <c r="X27" i="66"/>
  <c r="X24" i="66"/>
  <c r="X25" i="66"/>
  <c r="X26" i="66"/>
  <c r="E100" i="53"/>
  <c r="B15" i="53" s="1"/>
  <c r="E104" i="53"/>
  <c r="E115" i="53"/>
  <c r="E117" i="53"/>
  <c r="E121" i="53"/>
  <c r="A17" i="53" s="1"/>
  <c r="E101" i="53"/>
  <c r="C14" i="53" s="1"/>
  <c r="E114" i="53"/>
  <c r="E120" i="53"/>
  <c r="A20" i="53" s="1"/>
  <c r="A155" i="53" s="1"/>
  <c r="E122" i="53"/>
  <c r="A22" i="53" s="1"/>
  <c r="A157" i="53" s="1"/>
  <c r="E134" i="53"/>
  <c r="F6" i="53"/>
  <c r="D6" i="53"/>
  <c r="E6" i="53"/>
  <c r="G6" i="53"/>
  <c r="A23" i="53"/>
  <c r="A158" i="53" s="1"/>
  <c r="A19" i="53"/>
  <c r="A154" i="53" s="1"/>
  <c r="A15" i="53"/>
  <c r="O30" i="66" l="1"/>
  <c r="W29" i="66"/>
  <c r="X29" i="66"/>
  <c r="A16" i="53"/>
  <c r="C3" i="53"/>
  <c r="C6" i="53" s="1"/>
  <c r="A24" i="53"/>
  <c r="A159" i="53" s="1"/>
  <c r="A26" i="53"/>
  <c r="A161" i="53" s="1"/>
  <c r="A18" i="53"/>
  <c r="A21" i="53"/>
  <c r="A156" i="53" s="1"/>
  <c r="I3" i="53"/>
  <c r="A25" i="53"/>
  <c r="A160" i="53" s="1"/>
  <c r="B21" i="53"/>
  <c r="B26" i="53"/>
  <c r="B23" i="53"/>
  <c r="B16" i="53"/>
  <c r="B24" i="53"/>
  <c r="B19" i="53"/>
  <c r="B17" i="53"/>
  <c r="B18" i="53"/>
  <c r="B25" i="53"/>
  <c r="B20" i="53"/>
  <c r="B22" i="53"/>
  <c r="D30" i="59"/>
  <c r="C30" i="59"/>
  <c r="E56" i="59"/>
  <c r="O31" i="66" l="1"/>
  <c r="W30" i="66"/>
  <c r="X30" i="66"/>
  <c r="B32" i="59"/>
  <c r="X2" i="52"/>
  <c r="B19" i="52"/>
  <c r="B7" i="52"/>
  <c r="B3" i="52"/>
  <c r="B105" i="53" l="1"/>
  <c r="B105" i="69"/>
  <c r="B105" i="67"/>
  <c r="B105" i="66"/>
  <c r="B105" i="68"/>
  <c r="B92" i="66"/>
  <c r="B92" i="67"/>
  <c r="B92" i="68"/>
  <c r="B92" i="69"/>
  <c r="B96" i="53"/>
  <c r="B96" i="66"/>
  <c r="B96" i="68"/>
  <c r="B96" i="67"/>
  <c r="B96" i="69"/>
  <c r="O32" i="66"/>
  <c r="O33" i="66" s="1"/>
  <c r="O34" i="66" s="1"/>
  <c r="O35" i="66" s="1"/>
  <c r="O36" i="66" s="1"/>
  <c r="O37" i="66" s="1"/>
  <c r="O38" i="66" s="1"/>
  <c r="O39" i="66" s="1"/>
  <c r="O40" i="66" s="1"/>
  <c r="O41" i="66" s="1"/>
  <c r="O42" i="66" s="1"/>
  <c r="O43" i="66" s="1"/>
  <c r="O44" i="66" s="1"/>
  <c r="O45" i="66" s="1"/>
  <c r="O46" i="66" s="1"/>
  <c r="O47" i="66" s="1"/>
  <c r="O48" i="66" s="1"/>
  <c r="O49" i="66" s="1"/>
  <c r="O50" i="66" s="1"/>
  <c r="O51" i="66" s="1"/>
  <c r="W31" i="66"/>
  <c r="X31" i="66"/>
  <c r="B92" i="53"/>
  <c r="E92" i="53" s="1"/>
  <c r="B92" i="54"/>
  <c r="E92" i="54" s="1"/>
  <c r="B96" i="54"/>
  <c r="E96" i="54" s="1"/>
  <c r="E96" i="53"/>
  <c r="B105" i="54"/>
  <c r="E105" i="54" s="1"/>
  <c r="E105" i="53"/>
  <c r="D7" i="52"/>
  <c r="E7" i="52"/>
  <c r="F7" i="52"/>
  <c r="G7" i="52"/>
  <c r="D3" i="52"/>
  <c r="G38" i="53" l="1"/>
  <c r="D38" i="53"/>
  <c r="C38" i="53"/>
  <c r="F38" i="53"/>
  <c r="E38" i="53"/>
  <c r="E195" i="52"/>
  <c r="G112" i="52" s="1"/>
  <c r="E194" i="52"/>
  <c r="B5" i="52" s="1"/>
  <c r="E193" i="52"/>
  <c r="G114" i="52" s="1"/>
  <c r="E192" i="52"/>
  <c r="E191" i="52"/>
  <c r="K190" i="52"/>
  <c r="J190" i="52"/>
  <c r="I190" i="52"/>
  <c r="M190" i="52" s="1"/>
  <c r="K189" i="52"/>
  <c r="J189" i="52"/>
  <c r="E189" i="52"/>
  <c r="C12" i="52" s="1"/>
  <c r="I19" i="59"/>
  <c r="K15" i="59"/>
  <c r="K14" i="59"/>
  <c r="J15" i="59"/>
  <c r="J14" i="59"/>
  <c r="B94" i="66" l="1"/>
  <c r="B94" i="68"/>
  <c r="B94" i="69"/>
  <c r="B94" i="67"/>
  <c r="B136" i="66"/>
  <c r="B136" i="67"/>
  <c r="B176" i="68"/>
  <c r="B176" i="69"/>
  <c r="B94" i="53"/>
  <c r="E94" i="53" s="1"/>
  <c r="B136" i="53"/>
  <c r="E136" i="53" s="1"/>
  <c r="N11" i="52"/>
  <c r="B94" i="54"/>
  <c r="E94" i="54" s="1"/>
  <c r="U7" i="54" s="1"/>
  <c r="B176" i="54"/>
  <c r="E176" i="54" s="1"/>
  <c r="I10" i="59"/>
  <c r="B6" i="52"/>
  <c r="B4" i="52" s="1"/>
  <c r="I194" i="52"/>
  <c r="L190" i="52"/>
  <c r="E190" i="52"/>
  <c r="C65" i="52" s="1"/>
  <c r="I189" i="52"/>
  <c r="B17" i="75" l="1"/>
  <c r="B69" i="75"/>
  <c r="B95" i="69"/>
  <c r="B95" i="67"/>
  <c r="B95" i="68"/>
  <c r="B95" i="66"/>
  <c r="B58" i="72"/>
  <c r="B58" i="73"/>
  <c r="B58" i="70"/>
  <c r="B58" i="71"/>
  <c r="I9" i="59"/>
  <c r="I4" i="59"/>
  <c r="B95" i="53"/>
  <c r="E95" i="53" s="1"/>
  <c r="B69" i="52"/>
  <c r="B58" i="62"/>
  <c r="E58" i="62" s="1"/>
  <c r="B58" i="63"/>
  <c r="E58" i="63" s="1"/>
  <c r="L189" i="52"/>
  <c r="M189" i="52"/>
  <c r="N10" i="52" s="1"/>
  <c r="U8" i="54"/>
  <c r="U9" i="54"/>
  <c r="V5" i="54"/>
  <c r="V4" i="54"/>
  <c r="V3" i="54"/>
  <c r="V6" i="54"/>
  <c r="U10" i="54"/>
  <c r="V10" i="54"/>
  <c r="U11" i="54"/>
  <c r="U12" i="54"/>
  <c r="U5" i="54"/>
  <c r="U4" i="54"/>
  <c r="U6" i="54"/>
  <c r="U3" i="54"/>
  <c r="B17" i="52"/>
  <c r="B95" i="54"/>
  <c r="E95" i="54" s="1"/>
  <c r="B107" i="52"/>
  <c r="C103" i="68" a="1"/>
  <c r="D103" i="69" a="1"/>
  <c r="D103" i="53" a="1"/>
  <c r="C123" i="69" a="1"/>
  <c r="C135" i="66" a="1"/>
  <c r="D123" i="68" a="1"/>
  <c r="C123" i="68" a="1"/>
  <c r="D135" i="66" a="1"/>
  <c r="C103" i="66" a="1"/>
  <c r="C135" i="53" a="1"/>
  <c r="D123" i="69" a="1"/>
  <c r="C103" i="53" a="1"/>
  <c r="D103" i="54" a="1"/>
  <c r="C103" i="69" a="1"/>
  <c r="D135" i="67" a="1"/>
  <c r="D123" i="54" a="1"/>
  <c r="D103" i="68" a="1"/>
  <c r="D103" i="67" a="1"/>
  <c r="C103" i="54" a="1"/>
  <c r="C103" i="67" a="1"/>
  <c r="C123" i="54" a="1"/>
  <c r="D135" i="53" a="1"/>
  <c r="D103" i="66" a="1"/>
  <c r="C135" i="67" a="1"/>
  <c r="B49" i="59" l="1"/>
  <c r="B154" i="68"/>
  <c r="B154" i="69"/>
  <c r="C123" i="68"/>
  <c r="E123" i="68" s="1"/>
  <c r="B19" i="68" s="1"/>
  <c r="C123" i="69"/>
  <c r="C135" i="67"/>
  <c r="C135" i="66"/>
  <c r="E135" i="66" s="1"/>
  <c r="C103" i="67"/>
  <c r="C103" i="66"/>
  <c r="E103" i="66" s="1"/>
  <c r="C103" i="69"/>
  <c r="C103" i="68"/>
  <c r="E103" i="68" s="1"/>
  <c r="D103" i="67"/>
  <c r="E103" i="67" s="1"/>
  <c r="D103" i="66"/>
  <c r="D103" i="68"/>
  <c r="D103" i="69"/>
  <c r="E103" i="69" s="1"/>
  <c r="D123" i="68"/>
  <c r="D135" i="67"/>
  <c r="E135" i="67" s="1"/>
  <c r="D135" i="66"/>
  <c r="D123" i="69"/>
  <c r="E123" i="69" s="1"/>
  <c r="B19" i="69" s="1"/>
  <c r="B103" i="69"/>
  <c r="B103" i="67"/>
  <c r="B103" i="68"/>
  <c r="B103" i="66"/>
  <c r="B57" i="71"/>
  <c r="B57" i="73"/>
  <c r="B57" i="70"/>
  <c r="B57" i="72"/>
  <c r="B123" i="69"/>
  <c r="B135" i="67"/>
  <c r="B135" i="66"/>
  <c r="B123" i="68"/>
  <c r="B93" i="69"/>
  <c r="B93" i="67"/>
  <c r="B93" i="66"/>
  <c r="B93" i="68"/>
  <c r="U14" i="54"/>
  <c r="I11" i="59"/>
  <c r="I17" i="59" s="1"/>
  <c r="B29" i="59" s="1"/>
  <c r="C103" i="54"/>
  <c r="C103" i="53"/>
  <c r="C123" i="54"/>
  <c r="C135" i="53"/>
  <c r="D103" i="54"/>
  <c r="D103" i="53"/>
  <c r="D123" i="54"/>
  <c r="D135" i="53"/>
  <c r="B93" i="53"/>
  <c r="E93" i="53" s="1"/>
  <c r="C47" i="53" s="1"/>
  <c r="B103" i="53"/>
  <c r="E103" i="53" s="1"/>
  <c r="B135" i="53"/>
  <c r="E135" i="53" s="1"/>
  <c r="B103" i="54"/>
  <c r="E103" i="54" s="1"/>
  <c r="B123" i="54"/>
  <c r="E123" i="54" s="1"/>
  <c r="B19" i="54" s="1"/>
  <c r="B57" i="62"/>
  <c r="E57" i="62" s="1"/>
  <c r="B57" i="63"/>
  <c r="E57" i="63" s="1"/>
  <c r="B154" i="54"/>
  <c r="E154" i="54" s="1"/>
  <c r="B93" i="54"/>
  <c r="E93" i="54" s="1"/>
  <c r="J68" i="52"/>
  <c r="C52" i="52"/>
  <c r="C211" i="74" a="1"/>
  <c r="C211" i="52" a="1"/>
  <c r="D211" i="74" a="1"/>
  <c r="D211" i="75" a="1"/>
  <c r="C211" i="75" a="1"/>
  <c r="D211" i="52" a="1"/>
  <c r="B219" i="74" l="1"/>
  <c r="B219" i="75"/>
  <c r="B211" i="75"/>
  <c r="B211" i="74"/>
  <c r="C211" i="75"/>
  <c r="D211" i="75"/>
  <c r="E211" i="75" s="1"/>
  <c r="C125" i="75" s="1"/>
  <c r="C211" i="74"/>
  <c r="E211" i="74" s="1"/>
  <c r="C125" i="74" s="1"/>
  <c r="D211" i="74"/>
  <c r="G12" i="66"/>
  <c r="E12" i="66"/>
  <c r="F12" i="66"/>
  <c r="D12" i="66"/>
  <c r="C12" i="66"/>
  <c r="F8" i="66"/>
  <c r="F60" i="66" s="1"/>
  <c r="D8" i="66"/>
  <c r="D60" i="66" s="1"/>
  <c r="C8" i="66"/>
  <c r="E8" i="66"/>
  <c r="E60" i="66" s="1"/>
  <c r="G8" i="66"/>
  <c r="G60" i="66" s="1"/>
  <c r="B43" i="68"/>
  <c r="B71" i="68"/>
  <c r="B20" i="68"/>
  <c r="B22" i="68" s="1"/>
  <c r="B23" i="68" s="1"/>
  <c r="B27" i="68" s="1"/>
  <c r="B26" i="68"/>
  <c r="E8" i="67"/>
  <c r="E60" i="67" s="1"/>
  <c r="F8" i="67"/>
  <c r="F60" i="67" s="1"/>
  <c r="D8" i="67"/>
  <c r="D60" i="67" s="1"/>
  <c r="C8" i="67"/>
  <c r="G8" i="67"/>
  <c r="G60" i="67" s="1"/>
  <c r="B20" i="69"/>
  <c r="B22" i="69" s="1"/>
  <c r="B23" i="69" s="1"/>
  <c r="B27" i="69" s="1"/>
  <c r="B43" i="69"/>
  <c r="B71" i="69"/>
  <c r="B26" i="69"/>
  <c r="F12" i="67"/>
  <c r="G12" i="67"/>
  <c r="C12" i="67"/>
  <c r="E12" i="67"/>
  <c r="D12" i="67"/>
  <c r="I16" i="59"/>
  <c r="B28" i="59" s="1"/>
  <c r="C211" i="52"/>
  <c r="D211" i="52"/>
  <c r="B71" i="54"/>
  <c r="B211" i="52"/>
  <c r="E211" i="52" s="1"/>
  <c r="C125" i="52" s="1"/>
  <c r="B43" i="54"/>
  <c r="J4" i="62"/>
  <c r="J5" i="62"/>
  <c r="J6" i="62"/>
  <c r="J7" i="62"/>
  <c r="J8" i="62"/>
  <c r="J9" i="62"/>
  <c r="J10" i="62"/>
  <c r="J11" i="62"/>
  <c r="J12" i="62"/>
  <c r="J13" i="62"/>
  <c r="J14" i="62"/>
  <c r="J15" i="62"/>
  <c r="J3" i="62"/>
  <c r="H12" i="67" l="1"/>
  <c r="U1" i="67" s="1"/>
  <c r="U12" i="67" s="1"/>
  <c r="B34" i="69"/>
  <c r="B25" i="69"/>
  <c r="B28" i="69" s="1"/>
  <c r="H12" i="66"/>
  <c r="U1" i="66" s="1"/>
  <c r="U10" i="66" s="1"/>
  <c r="B53" i="68"/>
  <c r="B54" i="68"/>
  <c r="B61" i="68"/>
  <c r="B34" i="68"/>
  <c r="H8" i="66"/>
  <c r="C60" i="66"/>
  <c r="B25" i="68"/>
  <c r="B28" i="68" s="1"/>
  <c r="B53" i="69"/>
  <c r="B61" i="69"/>
  <c r="B54" i="69"/>
  <c r="C60" i="67"/>
  <c r="H8" i="67"/>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 i="63"/>
  <c r="C215" i="75" a="1"/>
  <c r="C212" i="75" a="1"/>
  <c r="D212" i="74" a="1"/>
  <c r="C215" i="74" a="1"/>
  <c r="D215" i="74" a="1"/>
  <c r="D212" i="75" a="1"/>
  <c r="C215" i="52" a="1"/>
  <c r="D215" i="75" a="1"/>
  <c r="D215" i="52" a="1"/>
  <c r="C212" i="52" a="1"/>
  <c r="D212" i="52" a="1"/>
  <c r="C212" i="74" a="1"/>
  <c r="C215" i="75" l="1"/>
  <c r="D212" i="75"/>
  <c r="E212" i="75" s="1"/>
  <c r="C212" i="75"/>
  <c r="D215" i="75"/>
  <c r="E215" i="75" s="1"/>
  <c r="D116" i="75" s="1"/>
  <c r="C122" i="75" s="1"/>
  <c r="C215" i="74"/>
  <c r="E215" i="74" s="1"/>
  <c r="D116" i="74" s="1"/>
  <c r="C122" i="74" s="1"/>
  <c r="C212" i="74"/>
  <c r="E212" i="74" s="1"/>
  <c r="D212" i="74"/>
  <c r="D215" i="74"/>
  <c r="B30" i="69"/>
  <c r="U7" i="67"/>
  <c r="U28" i="67"/>
  <c r="U15" i="67"/>
  <c r="U5" i="67"/>
  <c r="U49" i="67"/>
  <c r="V49" i="67" s="1"/>
  <c r="U34" i="67"/>
  <c r="V34" i="67" s="1"/>
  <c r="U47" i="66"/>
  <c r="V47" i="66" s="1"/>
  <c r="U48" i="67"/>
  <c r="V48" i="67" s="1"/>
  <c r="U29" i="67"/>
  <c r="U8" i="67"/>
  <c r="U23" i="67"/>
  <c r="U25" i="67"/>
  <c r="U50" i="67"/>
  <c r="V50" i="67" s="1"/>
  <c r="U47" i="67"/>
  <c r="V47" i="67" s="1"/>
  <c r="U22" i="67"/>
  <c r="U37" i="67"/>
  <c r="V37" i="67" s="1"/>
  <c r="U27" i="67"/>
  <c r="U11" i="67"/>
  <c r="U38" i="67"/>
  <c r="V38" i="67" s="1"/>
  <c r="U21" i="67"/>
  <c r="U40" i="67"/>
  <c r="V40" i="67" s="1"/>
  <c r="U9" i="67"/>
  <c r="U31" i="67"/>
  <c r="U4" i="67"/>
  <c r="U45" i="67"/>
  <c r="V45" i="67" s="1"/>
  <c r="U40" i="66"/>
  <c r="V40" i="66" s="1"/>
  <c r="B32" i="69"/>
  <c r="U33" i="67"/>
  <c r="V33" i="67" s="1"/>
  <c r="U10" i="67"/>
  <c r="U16" i="67"/>
  <c r="U24" i="67"/>
  <c r="U17" i="67"/>
  <c r="U39" i="67"/>
  <c r="V39" i="67" s="1"/>
  <c r="U46" i="67"/>
  <c r="V46" i="67" s="1"/>
  <c r="U51" i="67"/>
  <c r="V51" i="67" s="1"/>
  <c r="U20" i="67"/>
  <c r="U6" i="67"/>
  <c r="U13" i="67"/>
  <c r="U43" i="67"/>
  <c r="V43" i="67" s="1"/>
  <c r="U44" i="67"/>
  <c r="V44" i="67" s="1"/>
  <c r="U36" i="67"/>
  <c r="V36" i="67" s="1"/>
  <c r="U14" i="67"/>
  <c r="U26" i="67"/>
  <c r="U32" i="67"/>
  <c r="V32" i="67" s="1"/>
  <c r="U30" i="67"/>
  <c r="U19" i="67"/>
  <c r="U41" i="67"/>
  <c r="V41" i="67" s="1"/>
  <c r="U18" i="67"/>
  <c r="U42" i="67"/>
  <c r="V42" i="67" s="1"/>
  <c r="U35" i="67"/>
  <c r="V35" i="67" s="1"/>
  <c r="U27" i="66"/>
  <c r="U46" i="66"/>
  <c r="V46" i="66" s="1"/>
  <c r="U26" i="66"/>
  <c r="U21" i="66"/>
  <c r="U20" i="66"/>
  <c r="U19" i="66"/>
  <c r="U35" i="66"/>
  <c r="V35" i="66" s="1"/>
  <c r="U34" i="66"/>
  <c r="V34" i="66" s="1"/>
  <c r="U12" i="66"/>
  <c r="U13" i="66"/>
  <c r="U17" i="66"/>
  <c r="U45" i="66"/>
  <c r="V45" i="66" s="1"/>
  <c r="U41" i="66"/>
  <c r="V41" i="66" s="1"/>
  <c r="U33" i="66"/>
  <c r="V33" i="66" s="1"/>
  <c r="U28" i="66"/>
  <c r="U8" i="66"/>
  <c r="U49" i="66"/>
  <c r="V49" i="66" s="1"/>
  <c r="U31" i="66"/>
  <c r="U42" i="66"/>
  <c r="V42" i="66" s="1"/>
  <c r="U18" i="66"/>
  <c r="U51" i="66"/>
  <c r="V51" i="66" s="1"/>
  <c r="B63" i="68"/>
  <c r="B65" i="68" s="1"/>
  <c r="U5" i="66"/>
  <c r="U44" i="66"/>
  <c r="V44" i="66" s="1"/>
  <c r="U23" i="66"/>
  <c r="U43" i="66"/>
  <c r="V43" i="66" s="1"/>
  <c r="U7" i="66"/>
  <c r="U6" i="66"/>
  <c r="U32" i="66"/>
  <c r="V32" i="66" s="1"/>
  <c r="U39" i="66"/>
  <c r="V39" i="66" s="1"/>
  <c r="U48" i="66"/>
  <c r="V48" i="66" s="1"/>
  <c r="U37" i="66"/>
  <c r="V37" i="66" s="1"/>
  <c r="U16" i="66"/>
  <c r="U4" i="66"/>
  <c r="U14" i="66"/>
  <c r="U15" i="66"/>
  <c r="U11" i="66"/>
  <c r="U36" i="66"/>
  <c r="V36" i="66" s="1"/>
  <c r="U38" i="66"/>
  <c r="V38" i="66" s="1"/>
  <c r="U30" i="66"/>
  <c r="U25" i="66"/>
  <c r="U29" i="66"/>
  <c r="U50" i="66"/>
  <c r="V50" i="66" s="1"/>
  <c r="U9" i="66"/>
  <c r="U22" i="66"/>
  <c r="U24" i="66"/>
  <c r="B55" i="69"/>
  <c r="B57" i="69" s="1"/>
  <c r="B55" i="68"/>
  <c r="B57" i="68" s="1"/>
  <c r="B63" i="69"/>
  <c r="B65" i="69" s="1"/>
  <c r="H60" i="66"/>
  <c r="B32" i="68"/>
  <c r="T1" i="66"/>
  <c r="AA1" i="66"/>
  <c r="B30" i="68"/>
  <c r="H60" i="67"/>
  <c r="T1" i="67"/>
  <c r="AA1" i="67"/>
  <c r="C215" i="52"/>
  <c r="C212" i="52"/>
  <c r="D212" i="52"/>
  <c r="D215" i="52"/>
  <c r="I38" i="52"/>
  <c r="J38" i="52" s="1"/>
  <c r="C199" i="74" a="1"/>
  <c r="C214" i="52" a="1"/>
  <c r="D199" i="75" a="1"/>
  <c r="D213" i="74" a="1"/>
  <c r="C213" i="75" a="1"/>
  <c r="D213" i="52" a="1"/>
  <c r="C213" i="74" a="1"/>
  <c r="D214" i="74" a="1"/>
  <c r="D214" i="75" a="1"/>
  <c r="D217" i="52" a="1"/>
  <c r="C217" i="52" a="1"/>
  <c r="D214" i="52" a="1"/>
  <c r="C199" i="52" a="1"/>
  <c r="D217" i="74" a="1"/>
  <c r="D217" i="75" a="1"/>
  <c r="C213" i="52" a="1"/>
  <c r="C214" i="75" a="1"/>
  <c r="C214" i="74" a="1"/>
  <c r="C217" i="74" a="1"/>
  <c r="D199" i="52" a="1"/>
  <c r="C199" i="75" a="1"/>
  <c r="C217" i="75" a="1"/>
  <c r="D213" i="75" a="1"/>
  <c r="D199" i="74" a="1"/>
  <c r="C213" i="75" l="1"/>
  <c r="C199" i="75"/>
  <c r="D213" i="75"/>
  <c r="E213" i="75" s="1"/>
  <c r="D214" i="75"/>
  <c r="E214" i="75" s="1"/>
  <c r="C217" i="75"/>
  <c r="D199" i="75"/>
  <c r="E199" i="75" s="1"/>
  <c r="C124" i="75" s="1"/>
  <c r="C214" i="75"/>
  <c r="D217" i="75"/>
  <c r="E217" i="75" s="1"/>
  <c r="C213" i="74"/>
  <c r="E213" i="74" s="1"/>
  <c r="D213" i="74"/>
  <c r="D214" i="74"/>
  <c r="C217" i="74"/>
  <c r="E217" i="74" s="1"/>
  <c r="D199" i="74"/>
  <c r="C214" i="74"/>
  <c r="E214" i="74" s="1"/>
  <c r="D217" i="74"/>
  <c r="C199" i="74"/>
  <c r="E199" i="74" s="1"/>
  <c r="C124" i="74" s="1"/>
  <c r="B38" i="69"/>
  <c r="B59" i="68"/>
  <c r="B59" i="69"/>
  <c r="C213" i="52"/>
  <c r="T23" i="66"/>
  <c r="V23" i="66" s="1"/>
  <c r="Y23" i="66" s="1"/>
  <c r="Z23" i="66" s="1"/>
  <c r="AB23" i="66" s="1"/>
  <c r="T9" i="66"/>
  <c r="V9" i="66" s="1"/>
  <c r="Y9" i="66" s="1"/>
  <c r="Z9" i="66" s="1"/>
  <c r="AB9" i="66" s="1"/>
  <c r="T19" i="66"/>
  <c r="V19" i="66" s="1"/>
  <c r="Y19" i="66" s="1"/>
  <c r="Z19" i="66" s="1"/>
  <c r="AB19" i="66" s="1"/>
  <c r="T26" i="66"/>
  <c r="V26" i="66" s="1"/>
  <c r="Y26" i="66" s="1"/>
  <c r="Z26" i="66" s="1"/>
  <c r="AB26" i="66" s="1"/>
  <c r="T5" i="66"/>
  <c r="V5" i="66" s="1"/>
  <c r="Y5" i="66" s="1"/>
  <c r="Z5" i="66" s="1"/>
  <c r="AB5" i="66" s="1"/>
  <c r="T25" i="66"/>
  <c r="V25" i="66" s="1"/>
  <c r="Y25" i="66" s="1"/>
  <c r="Z25" i="66" s="1"/>
  <c r="AB25" i="66" s="1"/>
  <c r="T8" i="66"/>
  <c r="V8" i="66" s="1"/>
  <c r="Y8" i="66" s="1"/>
  <c r="Z8" i="66" s="1"/>
  <c r="AB8" i="66" s="1"/>
  <c r="T14" i="66"/>
  <c r="V14" i="66" s="1"/>
  <c r="Y14" i="66" s="1"/>
  <c r="Z14" i="66" s="1"/>
  <c r="AB14" i="66" s="1"/>
  <c r="T29" i="66"/>
  <c r="V29" i="66" s="1"/>
  <c r="Y29" i="66" s="1"/>
  <c r="Z29" i="66" s="1"/>
  <c r="AB29" i="66" s="1"/>
  <c r="T10" i="66"/>
  <c r="V10" i="66" s="1"/>
  <c r="Y10" i="66" s="1"/>
  <c r="Z10" i="66" s="1"/>
  <c r="AB10" i="66" s="1"/>
  <c r="T30" i="66"/>
  <c r="V30" i="66" s="1"/>
  <c r="Y30" i="66" s="1"/>
  <c r="Z30" i="66" s="1"/>
  <c r="AB30" i="66" s="1"/>
  <c r="T11" i="66"/>
  <c r="V11" i="66" s="1"/>
  <c r="Y11" i="66" s="1"/>
  <c r="Z11" i="66" s="1"/>
  <c r="AB11" i="66" s="1"/>
  <c r="T27" i="66"/>
  <c r="V27" i="66" s="1"/>
  <c r="Y27" i="66" s="1"/>
  <c r="Z27" i="66" s="1"/>
  <c r="AB27" i="66" s="1"/>
  <c r="T4" i="66"/>
  <c r="V4" i="66" s="1"/>
  <c r="Y4" i="66" s="1"/>
  <c r="Z4" i="66" s="1"/>
  <c r="AB4" i="66" s="1"/>
  <c r="T17" i="66"/>
  <c r="V17" i="66" s="1"/>
  <c r="Y17" i="66" s="1"/>
  <c r="Z17" i="66" s="1"/>
  <c r="AB17" i="66" s="1"/>
  <c r="T22" i="66"/>
  <c r="V22" i="66" s="1"/>
  <c r="Y22" i="66" s="1"/>
  <c r="Z22" i="66" s="1"/>
  <c r="AB22" i="66" s="1"/>
  <c r="T31" i="66"/>
  <c r="V31" i="66" s="1"/>
  <c r="Y31" i="66" s="1"/>
  <c r="Z31" i="66" s="1"/>
  <c r="AB31" i="66" s="1"/>
  <c r="T18" i="66"/>
  <c r="V18" i="66" s="1"/>
  <c r="Y18" i="66" s="1"/>
  <c r="Z18" i="66" s="1"/>
  <c r="AB18" i="66" s="1"/>
  <c r="T16" i="66"/>
  <c r="V16" i="66" s="1"/>
  <c r="Y16" i="66" s="1"/>
  <c r="Z16" i="66" s="1"/>
  <c r="AB16" i="66" s="1"/>
  <c r="T12" i="66"/>
  <c r="V12" i="66" s="1"/>
  <c r="Y12" i="66" s="1"/>
  <c r="Z12" i="66" s="1"/>
  <c r="AB12" i="66" s="1"/>
  <c r="T13" i="66"/>
  <c r="V13" i="66" s="1"/>
  <c r="Y13" i="66" s="1"/>
  <c r="Z13" i="66" s="1"/>
  <c r="AB13" i="66" s="1"/>
  <c r="T24" i="66"/>
  <c r="V24" i="66" s="1"/>
  <c r="Y24" i="66" s="1"/>
  <c r="Z24" i="66" s="1"/>
  <c r="AB24" i="66" s="1"/>
  <c r="T7" i="66"/>
  <c r="V7" i="66" s="1"/>
  <c r="Y7" i="66" s="1"/>
  <c r="Z7" i="66" s="1"/>
  <c r="AB7" i="66" s="1"/>
  <c r="T20" i="66"/>
  <c r="V20" i="66" s="1"/>
  <c r="Y20" i="66" s="1"/>
  <c r="Z20" i="66" s="1"/>
  <c r="AB20" i="66" s="1"/>
  <c r="T6" i="66"/>
  <c r="V6" i="66" s="1"/>
  <c r="Y6" i="66" s="1"/>
  <c r="Z6" i="66" s="1"/>
  <c r="AB6" i="66" s="1"/>
  <c r="T15" i="66"/>
  <c r="V15" i="66" s="1"/>
  <c r="Y15" i="66" s="1"/>
  <c r="Z15" i="66" s="1"/>
  <c r="AB15" i="66" s="1"/>
  <c r="T21" i="66"/>
  <c r="V21" i="66" s="1"/>
  <c r="Y21" i="66" s="1"/>
  <c r="Z21" i="66" s="1"/>
  <c r="AB21" i="66" s="1"/>
  <c r="T28" i="66"/>
  <c r="V28" i="66" s="1"/>
  <c r="Y28" i="66" s="1"/>
  <c r="Z28" i="66" s="1"/>
  <c r="AB28" i="66" s="1"/>
  <c r="AA10" i="66"/>
  <c r="AA7" i="66"/>
  <c r="AA24" i="66"/>
  <c r="AA29" i="66"/>
  <c r="AA4" i="66"/>
  <c r="AA26" i="66"/>
  <c r="AA27" i="66"/>
  <c r="AA25" i="66"/>
  <c r="AA18" i="66"/>
  <c r="AA15" i="66"/>
  <c r="AA12" i="66"/>
  <c r="AA13" i="66"/>
  <c r="AA11" i="66"/>
  <c r="AA8" i="66"/>
  <c r="AA22" i="66"/>
  <c r="AA23" i="66"/>
  <c r="AA17" i="66"/>
  <c r="AA5" i="66"/>
  <c r="AA31" i="66"/>
  <c r="AA19" i="66"/>
  <c r="AA30" i="66"/>
  <c r="AA21" i="66"/>
  <c r="AA14" i="66"/>
  <c r="AA9" i="66"/>
  <c r="AA6" i="66"/>
  <c r="AA20" i="66"/>
  <c r="AA28" i="66"/>
  <c r="AA16" i="66"/>
  <c r="B38" i="68"/>
  <c r="T6" i="67"/>
  <c r="V6" i="67" s="1"/>
  <c r="Y6" i="67" s="1"/>
  <c r="Z6" i="67" s="1"/>
  <c r="AB6" i="67" s="1"/>
  <c r="T17" i="67"/>
  <c r="V17" i="67" s="1"/>
  <c r="Y17" i="67" s="1"/>
  <c r="Z17" i="67" s="1"/>
  <c r="AB17" i="67" s="1"/>
  <c r="T19" i="67"/>
  <c r="V19" i="67" s="1"/>
  <c r="Y19" i="67" s="1"/>
  <c r="Z19" i="67" s="1"/>
  <c r="AB19" i="67" s="1"/>
  <c r="T12" i="67"/>
  <c r="V12" i="67" s="1"/>
  <c r="Y12" i="67" s="1"/>
  <c r="Z12" i="67" s="1"/>
  <c r="AB12" i="67" s="1"/>
  <c r="T28" i="67"/>
  <c r="V28" i="67" s="1"/>
  <c r="Y28" i="67" s="1"/>
  <c r="Z28" i="67" s="1"/>
  <c r="AB28" i="67" s="1"/>
  <c r="T7" i="67"/>
  <c r="V7" i="67" s="1"/>
  <c r="Y7" i="67" s="1"/>
  <c r="Z7" i="67" s="1"/>
  <c r="AB7" i="67" s="1"/>
  <c r="T22" i="67"/>
  <c r="V22" i="67" s="1"/>
  <c r="Y22" i="67" s="1"/>
  <c r="Z22" i="67" s="1"/>
  <c r="AB22" i="67" s="1"/>
  <c r="T24" i="67"/>
  <c r="V24" i="67" s="1"/>
  <c r="Y24" i="67" s="1"/>
  <c r="Z24" i="67" s="1"/>
  <c r="AB24" i="67" s="1"/>
  <c r="T9" i="67"/>
  <c r="V9" i="67" s="1"/>
  <c r="Y9" i="67" s="1"/>
  <c r="Z9" i="67" s="1"/>
  <c r="AB9" i="67" s="1"/>
  <c r="T5" i="67"/>
  <c r="V5" i="67" s="1"/>
  <c r="Y5" i="67" s="1"/>
  <c r="Z5" i="67" s="1"/>
  <c r="AB5" i="67" s="1"/>
  <c r="T8" i="67"/>
  <c r="V8" i="67" s="1"/>
  <c r="Y8" i="67" s="1"/>
  <c r="Z8" i="67" s="1"/>
  <c r="AB8" i="67" s="1"/>
  <c r="T30" i="67"/>
  <c r="V30" i="67" s="1"/>
  <c r="Y30" i="67" s="1"/>
  <c r="Z30" i="67" s="1"/>
  <c r="AB30" i="67" s="1"/>
  <c r="T25" i="67"/>
  <c r="V25" i="67" s="1"/>
  <c r="Y25" i="67" s="1"/>
  <c r="Z25" i="67" s="1"/>
  <c r="AB25" i="67" s="1"/>
  <c r="T4" i="67"/>
  <c r="V4" i="67" s="1"/>
  <c r="Y4" i="67" s="1"/>
  <c r="Z4" i="67" s="1"/>
  <c r="AB4" i="67" s="1"/>
  <c r="T21" i="67"/>
  <c r="V21" i="67" s="1"/>
  <c r="Y21" i="67" s="1"/>
  <c r="Z21" i="67" s="1"/>
  <c r="AB21" i="67" s="1"/>
  <c r="T23" i="67"/>
  <c r="V23" i="67" s="1"/>
  <c r="Y23" i="67" s="1"/>
  <c r="Z23" i="67" s="1"/>
  <c r="AB23" i="67" s="1"/>
  <c r="T31" i="67"/>
  <c r="V31" i="67" s="1"/>
  <c r="Y31" i="67" s="1"/>
  <c r="Z31" i="67" s="1"/>
  <c r="AB31" i="67" s="1"/>
  <c r="T18" i="67"/>
  <c r="V18" i="67" s="1"/>
  <c r="Y18" i="67" s="1"/>
  <c r="Z18" i="67" s="1"/>
  <c r="AB18" i="67" s="1"/>
  <c r="T16" i="67"/>
  <c r="V16" i="67" s="1"/>
  <c r="Y16" i="67" s="1"/>
  <c r="Z16" i="67" s="1"/>
  <c r="AB16" i="67" s="1"/>
  <c r="T26" i="67"/>
  <c r="V26" i="67" s="1"/>
  <c r="Y26" i="67" s="1"/>
  <c r="Z26" i="67" s="1"/>
  <c r="AB26" i="67" s="1"/>
  <c r="T27" i="67"/>
  <c r="V27" i="67" s="1"/>
  <c r="Y27" i="67" s="1"/>
  <c r="Z27" i="67" s="1"/>
  <c r="AB27" i="67" s="1"/>
  <c r="T10" i="67"/>
  <c r="V10" i="67" s="1"/>
  <c r="Y10" i="67" s="1"/>
  <c r="Z10" i="67" s="1"/>
  <c r="AB10" i="67" s="1"/>
  <c r="T14" i="67"/>
  <c r="V14" i="67" s="1"/>
  <c r="Y14" i="67" s="1"/>
  <c r="Z14" i="67" s="1"/>
  <c r="AB14" i="67" s="1"/>
  <c r="T20" i="67"/>
  <c r="V20" i="67" s="1"/>
  <c r="Y20" i="67" s="1"/>
  <c r="Z20" i="67" s="1"/>
  <c r="AB20" i="67" s="1"/>
  <c r="T29" i="67"/>
  <c r="V29" i="67" s="1"/>
  <c r="Y29" i="67" s="1"/>
  <c r="Z29" i="67" s="1"/>
  <c r="AB29" i="67" s="1"/>
  <c r="T15" i="67"/>
  <c r="V15" i="67" s="1"/>
  <c r="Y15" i="67" s="1"/>
  <c r="Z15" i="67" s="1"/>
  <c r="AB15" i="67" s="1"/>
  <c r="T11" i="67"/>
  <c r="V11" i="67" s="1"/>
  <c r="Y11" i="67" s="1"/>
  <c r="Z11" i="67" s="1"/>
  <c r="AB11" i="67" s="1"/>
  <c r="T13" i="67"/>
  <c r="V13" i="67" s="1"/>
  <c r="Y13" i="67" s="1"/>
  <c r="Z13" i="67" s="1"/>
  <c r="AB13" i="67" s="1"/>
  <c r="AA12" i="67"/>
  <c r="AA19" i="67"/>
  <c r="AA31" i="67"/>
  <c r="AA28" i="67"/>
  <c r="AA30" i="67"/>
  <c r="AA7" i="67"/>
  <c r="AA4" i="67"/>
  <c r="AA8" i="67"/>
  <c r="AA14" i="67"/>
  <c r="AA20" i="67"/>
  <c r="AA5" i="67"/>
  <c r="AA16" i="67"/>
  <c r="AA17" i="67"/>
  <c r="AA6" i="67"/>
  <c r="AA18" i="67"/>
  <c r="AA24" i="67"/>
  <c r="AA26" i="67"/>
  <c r="AA23" i="67"/>
  <c r="AA21" i="67"/>
  <c r="AA13" i="67"/>
  <c r="AA9" i="67"/>
  <c r="AA29" i="67"/>
  <c r="AA15" i="67"/>
  <c r="AA11" i="67"/>
  <c r="AA27" i="67"/>
  <c r="AA10" i="67"/>
  <c r="AA22" i="67"/>
  <c r="AA25" i="67"/>
  <c r="C217" i="52"/>
  <c r="C214" i="52"/>
  <c r="C199" i="52"/>
  <c r="D213" i="52"/>
  <c r="D199" i="52"/>
  <c r="D214" i="52"/>
  <c r="D217" i="52"/>
  <c r="B24" i="52"/>
  <c r="AC7" i="67" l="1"/>
  <c r="AC22" i="67"/>
  <c r="AC27" i="67"/>
  <c r="AC24" i="67"/>
  <c r="AC10" i="67"/>
  <c r="AC21" i="67"/>
  <c r="AC9" i="67"/>
  <c r="B106" i="69"/>
  <c r="B106" i="66"/>
  <c r="B106" i="68"/>
  <c r="B106" i="67"/>
  <c r="AC6" i="66"/>
  <c r="AC13" i="67"/>
  <c r="AC9" i="66"/>
  <c r="AC25" i="67"/>
  <c r="AC28" i="67"/>
  <c r="AC31" i="67"/>
  <c r="AC6" i="67"/>
  <c r="AC23" i="66"/>
  <c r="AC12" i="66"/>
  <c r="AC22" i="66"/>
  <c r="AC11" i="66"/>
  <c r="AC14" i="66"/>
  <c r="AC20" i="67"/>
  <c r="AC23" i="67"/>
  <c r="AC5" i="66"/>
  <c r="AC8" i="66"/>
  <c r="AC7" i="66"/>
  <c r="AC29" i="67"/>
  <c r="AC19" i="67"/>
  <c r="AC14" i="67"/>
  <c r="AC24" i="66"/>
  <c r="AC10" i="66"/>
  <c r="AC11" i="67"/>
  <c r="AC16" i="67"/>
  <c r="AC8" i="67"/>
  <c r="AC26" i="67"/>
  <c r="AC17" i="67"/>
  <c r="AC30" i="67"/>
  <c r="AC12" i="67"/>
  <c r="AC28" i="66"/>
  <c r="AC21" i="66"/>
  <c r="AC16" i="66"/>
  <c r="AC17" i="66"/>
  <c r="AC30" i="66"/>
  <c r="AC19" i="66"/>
  <c r="AC15" i="66"/>
  <c r="AC25" i="66"/>
  <c r="AC15" i="67"/>
  <c r="AC18" i="67"/>
  <c r="AC5" i="67"/>
  <c r="AC4" i="67"/>
  <c r="AC18" i="66"/>
  <c r="AC4" i="66"/>
  <c r="AC13" i="66"/>
  <c r="AC31" i="66"/>
  <c r="AC27" i="66"/>
  <c r="AC29" i="66"/>
  <c r="AC20" i="66"/>
  <c r="AC26" i="66"/>
  <c r="B106" i="53"/>
  <c r="E106" i="53" s="1"/>
  <c r="C30" i="53" s="1"/>
  <c r="B26" i="52"/>
  <c r="B106" i="54"/>
  <c r="E106" i="54" s="1"/>
  <c r="A54" i="52"/>
  <c r="D53" i="52"/>
  <c r="E53" i="52"/>
  <c r="G53" i="52"/>
  <c r="C53" i="52"/>
  <c r="F53" i="52"/>
  <c r="H38" i="52"/>
  <c r="J39" i="52" s="1"/>
  <c r="C42" i="52"/>
  <c r="C61" i="67" l="1"/>
  <c r="C62" i="67" s="1"/>
  <c r="D61" i="67"/>
  <c r="D75" i="67" s="1"/>
  <c r="C61" i="66"/>
  <c r="C62" i="66" s="1"/>
  <c r="D61" i="66"/>
  <c r="D75" i="66" s="1"/>
  <c r="G61" i="67"/>
  <c r="G62" i="67" s="1"/>
  <c r="G61" i="66"/>
  <c r="G75" i="66" s="1"/>
  <c r="E61" i="67"/>
  <c r="E75" i="67" s="1"/>
  <c r="F61" i="67"/>
  <c r="F62" i="67" s="1"/>
  <c r="F61" i="66"/>
  <c r="F75" i="66" s="1"/>
  <c r="E61" i="66"/>
  <c r="E75" i="66" s="1"/>
  <c r="B108" i="69"/>
  <c r="B108" i="66"/>
  <c r="B108" i="68"/>
  <c r="B108" i="67"/>
  <c r="B131" i="67"/>
  <c r="B131" i="66"/>
  <c r="B108" i="54"/>
  <c r="E108" i="54" s="1"/>
  <c r="B108" i="53"/>
  <c r="B131" i="53"/>
  <c r="J41" i="52"/>
  <c r="J40" i="52"/>
  <c r="C75" i="67" l="1"/>
  <c r="D62" i="67"/>
  <c r="H61" i="67"/>
  <c r="H62" i="67" s="1"/>
  <c r="C75" i="66"/>
  <c r="H75" i="66" s="1"/>
  <c r="H61" i="66"/>
  <c r="H62" i="66" s="1"/>
  <c r="G62" i="66"/>
  <c r="E62" i="66"/>
  <c r="D62" i="66"/>
  <c r="E62" i="67"/>
  <c r="G75" i="67"/>
  <c r="F62" i="66"/>
  <c r="F75" i="67"/>
  <c r="G42" i="52"/>
  <c r="C203" i="74" a="1"/>
  <c r="C203" i="75" a="1"/>
  <c r="H75" i="67" l="1"/>
  <c r="C203" i="75"/>
  <c r="C203" i="74"/>
  <c r="E203" i="74" s="1"/>
  <c r="D115" i="74" s="1"/>
  <c r="C121" i="74" s="1"/>
  <c r="L158" i="53"/>
  <c r="I158" i="53"/>
  <c r="L154" i="53"/>
  <c r="I154" i="53"/>
  <c r="H155" i="53"/>
  <c r="D203" i="75" a="1"/>
  <c r="D203" i="52" a="1"/>
  <c r="C203" i="52" a="1"/>
  <c r="D203" i="74" a="1"/>
  <c r="D203" i="74" l="1"/>
  <c r="D203" i="75"/>
  <c r="E203" i="75" s="1"/>
  <c r="B115" i="74"/>
  <c r="H160" i="53"/>
  <c r="I160" i="53"/>
  <c r="L160" i="53"/>
  <c r="C203" i="52"/>
  <c r="D203" i="52"/>
  <c r="L159" i="53"/>
  <c r="J158" i="53"/>
  <c r="H159" i="53"/>
  <c r="I159" i="53"/>
  <c r="L155" i="53"/>
  <c r="H156" i="53"/>
  <c r="I155" i="53"/>
  <c r="C54" i="59" a="1"/>
  <c r="C162" i="69" a="1"/>
  <c r="D207" i="52" a="1"/>
  <c r="C162" i="68" a="1"/>
  <c r="C54" i="59" l="1"/>
  <c r="C60" i="59" s="1"/>
  <c r="D115" i="75"/>
  <c r="C121" i="75" s="1"/>
  <c r="B115" i="75"/>
  <c r="C162" i="68"/>
  <c r="E162" i="68" s="1"/>
  <c r="C162" i="69"/>
  <c r="J155" i="53"/>
  <c r="J154" i="53"/>
  <c r="D207" i="52"/>
  <c r="J160" i="53"/>
  <c r="K158" i="53"/>
  <c r="J159" i="53"/>
  <c r="L156" i="53"/>
  <c r="J156" i="53"/>
  <c r="I156" i="53"/>
  <c r="K154" i="53"/>
  <c r="J16" i="62"/>
  <c r="D16" i="62"/>
  <c r="C16" i="62"/>
  <c r="B16" i="62"/>
  <c r="A19" i="62"/>
  <c r="D54" i="59" a="1"/>
  <c r="D162" i="68" a="1"/>
  <c r="D162" i="54" a="1"/>
  <c r="D162" i="69" a="1"/>
  <c r="D158" i="54" a="1"/>
  <c r="C162" i="54" a="1"/>
  <c r="D54" i="59" l="1"/>
  <c r="D60" i="59" s="1"/>
  <c r="D31" i="59" s="1"/>
  <c r="D162" i="69"/>
  <c r="E162" i="69" s="1"/>
  <c r="D162" i="68"/>
  <c r="D162" i="54"/>
  <c r="B232" i="75"/>
  <c r="B232" i="74"/>
  <c r="B233" i="75"/>
  <c r="B233" i="74"/>
  <c r="B234" i="75"/>
  <c r="B234" i="74"/>
  <c r="B235" i="75"/>
  <c r="B235" i="74"/>
  <c r="D158" i="54"/>
  <c r="B233" i="52"/>
  <c r="E233" i="52" s="1"/>
  <c r="G68" i="52" s="1"/>
  <c r="B234" i="52"/>
  <c r="E234" i="52" s="1"/>
  <c r="G69" i="52" s="1"/>
  <c r="B235" i="52"/>
  <c r="E235" i="52" s="1"/>
  <c r="D68" i="52" s="1"/>
  <c r="B232" i="52"/>
  <c r="E232" i="52" s="1"/>
  <c r="G67" i="52" s="1"/>
  <c r="C162" i="54"/>
  <c r="K155" i="53"/>
  <c r="B31" i="63"/>
  <c r="E31" i="63"/>
  <c r="D31" i="63"/>
  <c r="C31" i="63"/>
  <c r="K31" i="63"/>
  <c r="A33" i="63"/>
  <c r="B225" i="75" l="1"/>
  <c r="B225" i="74"/>
  <c r="B226" i="74"/>
  <c r="B226" i="75"/>
  <c r="B229" i="75"/>
  <c r="B229" i="74"/>
  <c r="B227" i="74"/>
  <c r="B227" i="75"/>
  <c r="B228" i="75"/>
  <c r="B228" i="74"/>
  <c r="B226" i="52"/>
  <c r="E226" i="52" s="1"/>
  <c r="G15" i="52" s="1"/>
  <c r="B227" i="52"/>
  <c r="E227" i="52" s="1"/>
  <c r="G16" i="52" s="1"/>
  <c r="B228" i="52"/>
  <c r="E228" i="52" s="1"/>
  <c r="G17" i="52" s="1"/>
  <c r="B229" i="52"/>
  <c r="E229" i="52" s="1"/>
  <c r="D14" i="52" s="1"/>
  <c r="B225" i="52"/>
  <c r="E225" i="52" s="1"/>
  <c r="G14" i="52" s="1"/>
  <c r="K156" i="53"/>
  <c r="K160" i="53" l="1"/>
  <c r="K159" i="53"/>
  <c r="B24" i="59"/>
  <c r="B26" i="59" l="1"/>
  <c r="AE3" i="52" l="1"/>
  <c r="AE4" i="52"/>
  <c r="AE5" i="52"/>
  <c r="AE2" i="52"/>
  <c r="B124" i="53" l="1"/>
  <c r="E124" i="53" s="1"/>
  <c r="B126" i="53"/>
  <c r="E126" i="53" s="1"/>
  <c r="B123" i="53"/>
  <c r="E123" i="53" s="1"/>
  <c r="E125" i="53"/>
  <c r="B125" i="53"/>
  <c r="I37" i="53"/>
  <c r="B85" i="52" l="1"/>
  <c r="B83" i="52"/>
  <c r="B137" i="68" l="1"/>
  <c r="B137" i="69"/>
  <c r="B135" i="68"/>
  <c r="B135" i="69"/>
  <c r="B135" i="54"/>
  <c r="E135" i="54" s="1"/>
  <c r="B9" i="54" s="1"/>
  <c r="B137" i="54"/>
  <c r="E137" i="54" s="1"/>
  <c r="B31" i="52"/>
  <c r="B113" i="69" l="1"/>
  <c r="B113" i="67"/>
  <c r="B113" i="68"/>
  <c r="B113" i="66"/>
  <c r="B36" i="54"/>
  <c r="B12" i="54"/>
  <c r="B113" i="53"/>
  <c r="E113" i="53"/>
  <c r="B113" i="54"/>
  <c r="E113" i="54" s="1"/>
  <c r="G65" i="52"/>
  <c r="B209" i="74" l="1"/>
  <c r="B209" i="75"/>
  <c r="B216" i="74"/>
  <c r="B216" i="75"/>
  <c r="B216" i="52"/>
  <c r="E216" i="52" s="1"/>
  <c r="B112" i="52" s="1"/>
  <c r="G56" i="52"/>
  <c r="F56" i="52"/>
  <c r="E56" i="52"/>
  <c r="D56" i="52"/>
  <c r="C56" i="52"/>
  <c r="G48" i="52"/>
  <c r="F48" i="52"/>
  <c r="E48" i="52"/>
  <c r="D48" i="52"/>
  <c r="C48" i="52"/>
  <c r="F44" i="52"/>
  <c r="D44" i="52"/>
  <c r="E44" i="52"/>
  <c r="G44" i="52"/>
  <c r="C44" i="52"/>
  <c r="A57" i="52"/>
  <c r="A53" i="52"/>
  <c r="A49" i="52"/>
  <c r="A45" i="52"/>
  <c r="B43" i="52"/>
  <c r="B42" i="52"/>
  <c r="A38" i="52"/>
  <c r="D38" i="52"/>
  <c r="A131" i="66" l="1"/>
  <c r="E131" i="66" s="1"/>
  <c r="K44" i="66" s="1"/>
  <c r="J44" i="66" s="1"/>
  <c r="C44" i="66" s="1"/>
  <c r="A131" i="67"/>
  <c r="E131" i="67" s="1"/>
  <c r="K44" i="67" s="1"/>
  <c r="J44" i="67" s="1"/>
  <c r="C44" i="67" s="1"/>
  <c r="B159" i="69"/>
  <c r="B159" i="68"/>
  <c r="A131" i="53"/>
  <c r="E131" i="53" s="1"/>
  <c r="K44" i="53" s="1"/>
  <c r="B41" i="52"/>
  <c r="A130" i="53" s="1"/>
  <c r="B40" i="52"/>
  <c r="A129" i="53" s="1"/>
  <c r="B39" i="52"/>
  <c r="A128" i="53" s="1"/>
  <c r="B38" i="52"/>
  <c r="A127" i="53" s="1"/>
  <c r="C45" i="67" l="1"/>
  <c r="C52" i="67" s="1"/>
  <c r="C54" i="67" s="1"/>
  <c r="D46" i="67"/>
  <c r="D53" i="67" s="1"/>
  <c r="D55" i="67" s="1"/>
  <c r="C46" i="67"/>
  <c r="C53" i="67" s="1"/>
  <c r="C55" i="67" s="1"/>
  <c r="G46" i="67"/>
  <c r="G53" i="67" s="1"/>
  <c r="G55" i="67" s="1"/>
  <c r="E45" i="67"/>
  <c r="E52" i="67" s="1"/>
  <c r="E54" i="67" s="1"/>
  <c r="D45" i="67"/>
  <c r="D52" i="67" s="1"/>
  <c r="D54" i="67" s="1"/>
  <c r="G45" i="67"/>
  <c r="G52" i="67" s="1"/>
  <c r="G54" i="67" s="1"/>
  <c r="F45" i="67"/>
  <c r="F52" i="67" s="1"/>
  <c r="F54" i="67" s="1"/>
  <c r="F46" i="67"/>
  <c r="F53" i="67" s="1"/>
  <c r="F55" i="67" s="1"/>
  <c r="E46" i="67"/>
  <c r="E53" i="67" s="1"/>
  <c r="E55" i="67" s="1"/>
  <c r="D46" i="66"/>
  <c r="D53" i="66" s="1"/>
  <c r="D55" i="66" s="1"/>
  <c r="F46" i="66"/>
  <c r="F53" i="66" s="1"/>
  <c r="F55" i="66" s="1"/>
  <c r="F45" i="66"/>
  <c r="F52" i="66" s="1"/>
  <c r="F54" i="66" s="1"/>
  <c r="E46" i="66"/>
  <c r="E53" i="66" s="1"/>
  <c r="E55" i="66" s="1"/>
  <c r="G45" i="66"/>
  <c r="G52" i="66" s="1"/>
  <c r="G54" i="66" s="1"/>
  <c r="D45" i="66"/>
  <c r="D52" i="66" s="1"/>
  <c r="D54" i="66" s="1"/>
  <c r="G46" i="66"/>
  <c r="G53" i="66" s="1"/>
  <c r="G55" i="66" s="1"/>
  <c r="E45" i="66"/>
  <c r="E52" i="66" s="1"/>
  <c r="E54" i="66" s="1"/>
  <c r="C45" i="66"/>
  <c r="C52" i="66" s="1"/>
  <c r="C54" i="66" s="1"/>
  <c r="C46" i="66"/>
  <c r="C53" i="66" s="1"/>
  <c r="C55" i="66" s="1"/>
  <c r="A44" i="52"/>
  <c r="G38" i="52"/>
  <c r="A48" i="52"/>
  <c r="A56" i="52"/>
  <c r="I14" i="59"/>
  <c r="I15" i="59"/>
  <c r="G56" i="66" l="1"/>
  <c r="G80" i="66" s="1"/>
  <c r="F56" i="66"/>
  <c r="F80" i="66" s="1"/>
  <c r="F56" i="67"/>
  <c r="F80" i="67" s="1"/>
  <c r="G56" i="67"/>
  <c r="C56" i="67"/>
  <c r="E56" i="67"/>
  <c r="D56" i="67"/>
  <c r="E56" i="66"/>
  <c r="C56" i="66"/>
  <c r="D56" i="66"/>
  <c r="L15" i="59"/>
  <c r="E17" i="59" s="1"/>
  <c r="B65" i="59"/>
  <c r="B34" i="59" s="1"/>
  <c r="A139" i="53"/>
  <c r="E139" i="53" s="1"/>
  <c r="E127" i="53"/>
  <c r="A137" i="53"/>
  <c r="E137" i="53" s="1"/>
  <c r="E128" i="53"/>
  <c r="A140" i="53"/>
  <c r="E140" i="53" s="1"/>
  <c r="E130" i="53"/>
  <c r="A138" i="53"/>
  <c r="E138" i="53" s="1"/>
  <c r="E129" i="53"/>
  <c r="N12" i="52"/>
  <c r="L14" i="59"/>
  <c r="A62" i="52"/>
  <c r="A9" i="52"/>
  <c r="F73" i="52"/>
  <c r="E73" i="52"/>
  <c r="D73" i="52"/>
  <c r="C73" i="52"/>
  <c r="B73" i="52"/>
  <c r="F67" i="66" l="1"/>
  <c r="F69" i="66" s="1"/>
  <c r="G67" i="66"/>
  <c r="G79" i="66" s="1"/>
  <c r="G82" i="66" s="1"/>
  <c r="F67" i="67"/>
  <c r="F79" i="67" s="1"/>
  <c r="F82" i="67" s="1"/>
  <c r="C80" i="67"/>
  <c r="C67" i="67"/>
  <c r="G80" i="67"/>
  <c r="G67" i="67"/>
  <c r="D80" i="67"/>
  <c r="D67" i="67"/>
  <c r="E80" i="67"/>
  <c r="E67" i="67"/>
  <c r="E80" i="66"/>
  <c r="E67" i="66"/>
  <c r="D80" i="66"/>
  <c r="D67" i="66"/>
  <c r="C80" i="66"/>
  <c r="C67" i="66"/>
  <c r="B127" i="69"/>
  <c r="B127" i="68"/>
  <c r="B59" i="71"/>
  <c r="B91" i="69"/>
  <c r="B91" i="68"/>
  <c r="B59" i="73"/>
  <c r="B59" i="70"/>
  <c r="B91" i="67"/>
  <c r="B59" i="72"/>
  <c r="B91" i="66"/>
  <c r="F17" i="59"/>
  <c r="F16" i="59"/>
  <c r="E16" i="59"/>
  <c r="L161" i="53"/>
  <c r="K161" i="53"/>
  <c r="B127" i="54"/>
  <c r="E127" i="54" s="1"/>
  <c r="B91" i="53"/>
  <c r="C28" i="53"/>
  <c r="C29" i="53" s="1"/>
  <c r="B155" i="53"/>
  <c r="G16" i="53"/>
  <c r="E16" i="53"/>
  <c r="F16" i="53"/>
  <c r="C16" i="53"/>
  <c r="D16" i="53"/>
  <c r="B154" i="53"/>
  <c r="D15" i="53"/>
  <c r="C15" i="53"/>
  <c r="G15" i="53"/>
  <c r="E15" i="53"/>
  <c r="F15" i="53"/>
  <c r="B157" i="53"/>
  <c r="F18" i="53"/>
  <c r="D18" i="53"/>
  <c r="E18" i="53"/>
  <c r="C18" i="53"/>
  <c r="G18" i="53"/>
  <c r="B156" i="53"/>
  <c r="D17" i="53"/>
  <c r="C17" i="53"/>
  <c r="E17" i="53"/>
  <c r="F17" i="53"/>
  <c r="G17" i="53"/>
  <c r="B59" i="63"/>
  <c r="E59" i="63" s="1"/>
  <c r="A32" i="63" s="1"/>
  <c r="B59" i="62"/>
  <c r="E59" i="62" s="1"/>
  <c r="E91" i="53"/>
  <c r="B91" i="54"/>
  <c r="E91" i="54" s="1"/>
  <c r="J157" i="53"/>
  <c r="I157" i="53"/>
  <c r="K157" i="53"/>
  <c r="H157" i="53"/>
  <c r="L157" i="53"/>
  <c r="G8" i="52"/>
  <c r="F8" i="52"/>
  <c r="E8" i="52"/>
  <c r="V11" i="54" l="1"/>
  <c r="V7" i="54"/>
  <c r="F79" i="66"/>
  <c r="F82" i="66" s="1"/>
  <c r="F69" i="67"/>
  <c r="G69" i="66"/>
  <c r="G79" i="67"/>
  <c r="G82" i="67" s="1"/>
  <c r="G69" i="67"/>
  <c r="E79" i="67"/>
  <c r="E82" i="67" s="1"/>
  <c r="E69" i="67"/>
  <c r="D79" i="67"/>
  <c r="D82" i="67" s="1"/>
  <c r="D69" i="67"/>
  <c r="H67" i="67"/>
  <c r="C79" i="67"/>
  <c r="C82" i="67" s="1"/>
  <c r="C69" i="67"/>
  <c r="D79" i="66"/>
  <c r="D82" i="66" s="1"/>
  <c r="D69" i="66"/>
  <c r="H67" i="66"/>
  <c r="C79" i="66"/>
  <c r="C82" i="66" s="1"/>
  <c r="C69" i="66"/>
  <c r="E79" i="66"/>
  <c r="E82" i="66" s="1"/>
  <c r="E69" i="66"/>
  <c r="B60" i="73"/>
  <c r="B60" i="72"/>
  <c r="V9" i="54"/>
  <c r="V8" i="54"/>
  <c r="B60" i="62"/>
  <c r="E60" i="62" s="1"/>
  <c r="A18" i="62" s="1"/>
  <c r="G31" i="53"/>
  <c r="D31" i="53"/>
  <c r="C31" i="53"/>
  <c r="E31" i="53"/>
  <c r="F31" i="53"/>
  <c r="G32" i="53"/>
  <c r="F32" i="53"/>
  <c r="D32" i="53"/>
  <c r="E32" i="53"/>
  <c r="C32" i="53"/>
  <c r="D156" i="53"/>
  <c r="E21" i="53" s="1"/>
  <c r="F156" i="53"/>
  <c r="G21" i="53" s="1"/>
  <c r="G156" i="53"/>
  <c r="C21" i="53" s="1"/>
  <c r="E156" i="53"/>
  <c r="F21" i="53" s="1"/>
  <c r="B160" i="53"/>
  <c r="C156" i="53"/>
  <c r="D21" i="53" s="1"/>
  <c r="C154" i="53"/>
  <c r="D19" i="53" s="1"/>
  <c r="D154" i="53"/>
  <c r="E19" i="53" s="1"/>
  <c r="F154" i="53"/>
  <c r="G19" i="53" s="1"/>
  <c r="B158" i="53"/>
  <c r="E154" i="53"/>
  <c r="F19" i="53" s="1"/>
  <c r="G154" i="53"/>
  <c r="C19" i="53" s="1"/>
  <c r="F157" i="53"/>
  <c r="G22" i="53" s="1"/>
  <c r="D157" i="53"/>
  <c r="E22" i="53" s="1"/>
  <c r="B161" i="53"/>
  <c r="G157" i="53"/>
  <c r="C22" i="53" s="1"/>
  <c r="E157" i="53"/>
  <c r="F22" i="53" s="1"/>
  <c r="C157" i="53"/>
  <c r="D22" i="53" s="1"/>
  <c r="E155" i="53"/>
  <c r="F20" i="53" s="1"/>
  <c r="G155" i="53"/>
  <c r="C20" i="53" s="1"/>
  <c r="B159" i="53"/>
  <c r="C155" i="53"/>
  <c r="D20" i="53" s="1"/>
  <c r="F155" i="53"/>
  <c r="G20" i="53" s="1"/>
  <c r="D155" i="53"/>
  <c r="E20" i="53" s="1"/>
  <c r="B109" i="52"/>
  <c r="C231" i="52" a="1"/>
  <c r="H69" i="67" l="1"/>
  <c r="H82" i="67"/>
  <c r="H82" i="66"/>
  <c r="H69" i="66"/>
  <c r="H71" i="66" s="1"/>
  <c r="H77" i="67"/>
  <c r="H79" i="67"/>
  <c r="H77" i="66"/>
  <c r="H79" i="66"/>
  <c r="B51" i="59"/>
  <c r="B156" i="68"/>
  <c r="B156" i="69"/>
  <c r="C231" i="52"/>
  <c r="C33" i="53"/>
  <c r="C34" i="53"/>
  <c r="D33" i="53"/>
  <c r="D34" i="53"/>
  <c r="G33" i="53"/>
  <c r="G34" i="53"/>
  <c r="E33" i="53"/>
  <c r="E34" i="53"/>
  <c r="F33" i="53"/>
  <c r="F34" i="53"/>
  <c r="C161" i="53"/>
  <c r="D26" i="53" s="1"/>
  <c r="F161" i="53"/>
  <c r="G26" i="53" s="1"/>
  <c r="E161" i="53"/>
  <c r="F26" i="53" s="1"/>
  <c r="G161" i="53"/>
  <c r="C26" i="53" s="1"/>
  <c r="D161" i="53"/>
  <c r="E26" i="53" s="1"/>
  <c r="C158" i="53"/>
  <c r="D23" i="53" s="1"/>
  <c r="E158" i="53"/>
  <c r="F23" i="53" s="1"/>
  <c r="F158" i="53"/>
  <c r="G23" i="53" s="1"/>
  <c r="G158" i="53"/>
  <c r="C23" i="53" s="1"/>
  <c r="D158" i="53"/>
  <c r="E23" i="53" s="1"/>
  <c r="D159" i="53"/>
  <c r="E24" i="53" s="1"/>
  <c r="F159" i="53"/>
  <c r="G24" i="53" s="1"/>
  <c r="E159" i="53"/>
  <c r="F24" i="53" s="1"/>
  <c r="G159" i="53"/>
  <c r="C24" i="53" s="1"/>
  <c r="C159" i="53"/>
  <c r="D24" i="53" s="1"/>
  <c r="D160" i="53"/>
  <c r="E25" i="53" s="1"/>
  <c r="F160" i="53"/>
  <c r="G25" i="53" s="1"/>
  <c r="E160" i="53"/>
  <c r="F25" i="53" s="1"/>
  <c r="G160" i="53"/>
  <c r="C25" i="53" s="1"/>
  <c r="C160" i="53"/>
  <c r="D25" i="53" s="1"/>
  <c r="B156" i="54"/>
  <c r="E156" i="54" s="1"/>
  <c r="C8" i="55"/>
  <c r="C4" i="55"/>
  <c r="C9" i="53"/>
  <c r="B30" i="52"/>
  <c r="C14" i="55"/>
  <c r="D9" i="53" s="1"/>
  <c r="C20" i="55"/>
  <c r="E9" i="53" s="1"/>
  <c r="C25" i="55"/>
  <c r="F9" i="53" s="1"/>
  <c r="C51" i="55"/>
  <c r="G9" i="53" s="1"/>
  <c r="G37" i="55"/>
  <c r="Q37" i="53"/>
  <c r="G38" i="55"/>
  <c r="Q38" i="53" s="1"/>
  <c r="G32" i="55"/>
  <c r="Q32" i="53"/>
  <c r="G33" i="55"/>
  <c r="Q33" i="53" s="1"/>
  <c r="G34" i="55"/>
  <c r="Q34" i="53" s="1"/>
  <c r="G35" i="55"/>
  <c r="Q35" i="53" s="1"/>
  <c r="G36" i="55"/>
  <c r="Q36" i="53" s="1"/>
  <c r="O5" i="53"/>
  <c r="G52" i="55"/>
  <c r="G51" i="55"/>
  <c r="G50" i="55"/>
  <c r="Q50" i="53" s="1"/>
  <c r="C50" i="55"/>
  <c r="G49" i="55"/>
  <c r="Q49" i="53" s="1"/>
  <c r="C49" i="55"/>
  <c r="G48" i="55"/>
  <c r="C48" i="55"/>
  <c r="G47" i="55"/>
  <c r="C47" i="55"/>
  <c r="G46" i="55"/>
  <c r="C46" i="55"/>
  <c r="G45" i="55"/>
  <c r="Q45" i="53" s="1"/>
  <c r="C45" i="55"/>
  <c r="G44" i="55"/>
  <c r="Q44" i="53" s="1"/>
  <c r="C44" i="55"/>
  <c r="G43" i="55"/>
  <c r="Q43" i="53" s="1"/>
  <c r="C43" i="55"/>
  <c r="G42" i="55"/>
  <c r="Q42" i="53" s="1"/>
  <c r="C42" i="55"/>
  <c r="G41" i="55"/>
  <c r="Q41" i="53" s="1"/>
  <c r="C41" i="55"/>
  <c r="G40" i="55"/>
  <c r="Q40" i="53" s="1"/>
  <c r="C40" i="55"/>
  <c r="G39" i="55"/>
  <c r="Q39" i="53" s="1"/>
  <c r="C39" i="55"/>
  <c r="C38" i="55"/>
  <c r="C37" i="55"/>
  <c r="C36" i="55"/>
  <c r="C35" i="55"/>
  <c r="C34" i="55"/>
  <c r="C33" i="55"/>
  <c r="C32" i="55"/>
  <c r="G31" i="55"/>
  <c r="C31" i="55"/>
  <c r="G30" i="55"/>
  <c r="C30" i="55"/>
  <c r="G29" i="55"/>
  <c r="C29" i="55"/>
  <c r="G28" i="55"/>
  <c r="Q28" i="53" s="1"/>
  <c r="C28" i="55"/>
  <c r="G27" i="55"/>
  <c r="Q27" i="53" s="1"/>
  <c r="C27" i="55"/>
  <c r="G26" i="55"/>
  <c r="C26" i="55"/>
  <c r="G25" i="55"/>
  <c r="Q25" i="53" s="1"/>
  <c r="G24" i="55"/>
  <c r="Q24" i="53" s="1"/>
  <c r="C24" i="55"/>
  <c r="G23" i="55"/>
  <c r="Q23" i="53" s="1"/>
  <c r="C23" i="55"/>
  <c r="G22" i="55"/>
  <c r="Q22" i="53" s="1"/>
  <c r="C22" i="55"/>
  <c r="G21" i="55"/>
  <c r="C21" i="55"/>
  <c r="G20" i="55"/>
  <c r="Q20" i="53" s="1"/>
  <c r="G19" i="55"/>
  <c r="Q19" i="53" s="1"/>
  <c r="C19" i="55"/>
  <c r="G18" i="55"/>
  <c r="Q18" i="53" s="1"/>
  <c r="C18" i="55"/>
  <c r="G17" i="55"/>
  <c r="C17" i="55"/>
  <c r="G16" i="55"/>
  <c r="C16" i="55"/>
  <c r="G15" i="55"/>
  <c r="Q15" i="53" s="1"/>
  <c r="C15" i="55"/>
  <c r="G14" i="55"/>
  <c r="Q14" i="53" s="1"/>
  <c r="G13" i="55"/>
  <c r="Q13" i="53" s="1"/>
  <c r="C13" i="55"/>
  <c r="G12" i="55"/>
  <c r="C12" i="55"/>
  <c r="G11" i="55"/>
  <c r="Q11" i="53" s="1"/>
  <c r="C11" i="55"/>
  <c r="G10" i="55"/>
  <c r="C10" i="55"/>
  <c r="G9" i="55"/>
  <c r="Q9" i="53" s="1"/>
  <c r="C9" i="55"/>
  <c r="G8" i="55"/>
  <c r="G7" i="55"/>
  <c r="Q7" i="53" s="1"/>
  <c r="C7" i="55"/>
  <c r="G6" i="55"/>
  <c r="Q6" i="53" s="1"/>
  <c r="C6" i="55"/>
  <c r="G5" i="55"/>
  <c r="C5" i="55"/>
  <c r="A5" i="55"/>
  <c r="G4" i="55"/>
  <c r="D4" i="55"/>
  <c r="T12" i="54"/>
  <c r="V12" i="54" s="1"/>
  <c r="V14" i="54" s="1"/>
  <c r="T11" i="54"/>
  <c r="T10" i="54"/>
  <c r="T9" i="54"/>
  <c r="T8" i="54"/>
  <c r="T7" i="54"/>
  <c r="Q51" i="53"/>
  <c r="Q48" i="53"/>
  <c r="Q47" i="53"/>
  <c r="Q46" i="53"/>
  <c r="Q31" i="53"/>
  <c r="Q30" i="53"/>
  <c r="Q29" i="53"/>
  <c r="Q26" i="53"/>
  <c r="Q21" i="53"/>
  <c r="Q17" i="53"/>
  <c r="Q16" i="53"/>
  <c r="Q12" i="53"/>
  <c r="Q10" i="53"/>
  <c r="Q8" i="53"/>
  <c r="Q5" i="53"/>
  <c r="F5" i="53"/>
  <c r="E5" i="53"/>
  <c r="D5" i="53"/>
  <c r="Q4" i="53"/>
  <c r="G4" i="53"/>
  <c r="F4" i="53"/>
  <c r="E4" i="53"/>
  <c r="C82" i="52"/>
  <c r="A82" i="52"/>
  <c r="G57" i="52"/>
  <c r="F57" i="52"/>
  <c r="E57" i="52"/>
  <c r="D57" i="52"/>
  <c r="C57" i="52"/>
  <c r="G49" i="52"/>
  <c r="F49" i="52"/>
  <c r="E49" i="52"/>
  <c r="D49" i="52"/>
  <c r="C49" i="52"/>
  <c r="G45" i="52"/>
  <c r="F45" i="52"/>
  <c r="E45" i="52"/>
  <c r="D45" i="52"/>
  <c r="C45" i="52"/>
  <c r="B72" i="52"/>
  <c r="E4" i="55"/>
  <c r="A6" i="55"/>
  <c r="D6" i="55" s="1"/>
  <c r="D5" i="55"/>
  <c r="E5" i="55" s="1"/>
  <c r="A7" i="55"/>
  <c r="A8" i="55" s="1"/>
  <c r="C205" i="52" a="1"/>
  <c r="D205" i="75" a="1"/>
  <c r="C200" i="74" a="1"/>
  <c r="C205" i="75" a="1"/>
  <c r="D205" i="74" a="1"/>
  <c r="C200" i="75" a="1"/>
  <c r="D204" i="74" a="1"/>
  <c r="D200" i="74" a="1"/>
  <c r="C206" i="75" a="1"/>
  <c r="C206" i="52" a="1"/>
  <c r="C201" i="52" a="1"/>
  <c r="D204" i="75" a="1"/>
  <c r="D200" i="75" a="1"/>
  <c r="D206" i="52" a="1"/>
  <c r="C201" i="75" a="1"/>
  <c r="C206" i="74" a="1"/>
  <c r="D206" i="74" a="1"/>
  <c r="C205" i="74" a="1"/>
  <c r="D205" i="52" a="1"/>
  <c r="C204" i="75" a="1"/>
  <c r="D206" i="75" a="1"/>
  <c r="D204" i="52" a="1"/>
  <c r="D200" i="52" a="1"/>
  <c r="C204" i="74" a="1"/>
  <c r="C201" i="74" a="1"/>
  <c r="C200" i="52" a="1"/>
  <c r="C204" i="52" a="1"/>
  <c r="D200" i="52" l="1"/>
  <c r="D200" i="74"/>
  <c r="D200" i="75"/>
  <c r="E200" i="75" s="1"/>
  <c r="H71" i="67"/>
  <c r="H73" i="67" s="1"/>
  <c r="D206" i="52"/>
  <c r="D206" i="74"/>
  <c r="D206" i="75"/>
  <c r="E206" i="75" s="1"/>
  <c r="C206" i="52"/>
  <c r="C206" i="74"/>
  <c r="E206" i="74" s="1"/>
  <c r="C206" i="75"/>
  <c r="C200" i="52"/>
  <c r="C200" i="74"/>
  <c r="E200" i="74" s="1"/>
  <c r="C200" i="75"/>
  <c r="B220" i="75"/>
  <c r="B220" i="74"/>
  <c r="D205" i="75"/>
  <c r="E205" i="75" s="1"/>
  <c r="D205" i="74"/>
  <c r="D205" i="52"/>
  <c r="D204" i="75"/>
  <c r="E204" i="75" s="1"/>
  <c r="F115" i="75" s="1"/>
  <c r="B121" i="75" s="1"/>
  <c r="D204" i="74"/>
  <c r="D204" i="52"/>
  <c r="C205" i="75"/>
  <c r="C205" i="74"/>
  <c r="E205" i="74" s="1"/>
  <c r="C205" i="52"/>
  <c r="C204" i="75"/>
  <c r="C204" i="74"/>
  <c r="E204" i="74" s="1"/>
  <c r="F115" i="74" s="1"/>
  <c r="B121" i="74" s="1"/>
  <c r="C204" i="52"/>
  <c r="C201" i="75"/>
  <c r="C201" i="74"/>
  <c r="E201" i="74" s="1"/>
  <c r="B106" i="74" s="1"/>
  <c r="C201" i="52"/>
  <c r="H73" i="66"/>
  <c r="A134" i="54"/>
  <c r="E134" i="54" s="1"/>
  <c r="A134" i="69"/>
  <c r="E134" i="69" s="1"/>
  <c r="A134" i="68"/>
  <c r="E134" i="68" s="1"/>
  <c r="B126" i="68"/>
  <c r="B126" i="69"/>
  <c r="B112" i="67"/>
  <c r="B112" i="69"/>
  <c r="B112" i="68"/>
  <c r="B112" i="66"/>
  <c r="B112" i="53"/>
  <c r="E112" i="53" s="1"/>
  <c r="F10" i="53" s="1"/>
  <c r="F35" i="53"/>
  <c r="F36" i="53"/>
  <c r="G35" i="53"/>
  <c r="G36" i="53"/>
  <c r="D35" i="53"/>
  <c r="D36" i="53"/>
  <c r="E35" i="53"/>
  <c r="E36" i="53"/>
  <c r="C35" i="53"/>
  <c r="C36" i="53"/>
  <c r="I68" i="52"/>
  <c r="B126" i="54"/>
  <c r="E126" i="54" s="1"/>
  <c r="B15" i="54" s="1"/>
  <c r="B112" i="54"/>
  <c r="E112" i="54" s="1"/>
  <c r="B21" i="54" s="1"/>
  <c r="O6" i="53"/>
  <c r="B159" i="54"/>
  <c r="E159" i="54" s="1"/>
  <c r="M4" i="53"/>
  <c r="D42" i="52"/>
  <c r="AN2" i="52" s="1"/>
  <c r="D24" i="52"/>
  <c r="AN1" i="52" s="1"/>
  <c r="A58" i="52"/>
  <c r="A52" i="52"/>
  <c r="A50" i="52"/>
  <c r="A46" i="52"/>
  <c r="E108" i="53"/>
  <c r="D8" i="55"/>
  <c r="A9" i="55"/>
  <c r="E6" i="55"/>
  <c r="D7" i="55"/>
  <c r="B7" i="54"/>
  <c r="C5" i="53"/>
  <c r="D4" i="53"/>
  <c r="D23" i="52"/>
  <c r="D25" i="52" s="1"/>
  <c r="B27" i="52"/>
  <c r="A96" i="52"/>
  <c r="H9" i="53"/>
  <c r="C48" i="59" a="1"/>
  <c r="C153" i="54" a="1"/>
  <c r="C168" i="68" a="1"/>
  <c r="D168" i="69" a="1"/>
  <c r="D202" i="75" a="1"/>
  <c r="D201" i="75" a="1"/>
  <c r="C153" i="68" a="1"/>
  <c r="C153" i="69" a="1"/>
  <c r="C202" i="74" a="1"/>
  <c r="D201" i="74" a="1"/>
  <c r="D201" i="52" a="1"/>
  <c r="D202" i="74" a="1"/>
  <c r="C202" i="75" a="1"/>
  <c r="C168" i="54" a="1"/>
  <c r="D202" i="52" a="1"/>
  <c r="D168" i="54" a="1"/>
  <c r="C202" i="52" a="1"/>
  <c r="D168" i="68" a="1"/>
  <c r="C168" i="69" a="1"/>
  <c r="C48" i="59" l="1"/>
  <c r="D201" i="52"/>
  <c r="D201" i="74"/>
  <c r="D201" i="75"/>
  <c r="E201" i="75" s="1"/>
  <c r="B106" i="75" s="1"/>
  <c r="D168" i="68"/>
  <c r="D168" i="69"/>
  <c r="E168" i="69" s="1"/>
  <c r="D168" i="54"/>
  <c r="D121" i="75"/>
  <c r="E121" i="75" s="1"/>
  <c r="H127" i="75" s="1"/>
  <c r="D202" i="75"/>
  <c r="E202" i="75" s="1"/>
  <c r="D202" i="74"/>
  <c r="D202" i="52"/>
  <c r="C153" i="69"/>
  <c r="C153" i="68"/>
  <c r="E153" i="68" s="1"/>
  <c r="C153" i="54"/>
  <c r="C168" i="68"/>
  <c r="E168" i="68" s="1"/>
  <c r="C168" i="69"/>
  <c r="C168" i="54"/>
  <c r="B124" i="74"/>
  <c r="D121" i="74"/>
  <c r="E121" i="74" s="1"/>
  <c r="H127" i="74" s="1"/>
  <c r="C202" i="75"/>
  <c r="C202" i="74"/>
  <c r="E202" i="74" s="1"/>
  <c r="C202" i="52"/>
  <c r="A146" i="69"/>
  <c r="E146" i="69" s="1"/>
  <c r="A146" i="68"/>
  <c r="E146" i="68" s="1"/>
  <c r="B109" i="69"/>
  <c r="B109" i="66"/>
  <c r="B109" i="68"/>
  <c r="B109" i="67"/>
  <c r="B57" i="59"/>
  <c r="B109" i="53"/>
  <c r="E109" i="53" s="1"/>
  <c r="G37" i="53" s="1"/>
  <c r="A146" i="54"/>
  <c r="E146" i="54" s="1"/>
  <c r="B75" i="54" s="1"/>
  <c r="B209" i="52"/>
  <c r="E209" i="52" s="1"/>
  <c r="B4" i="54"/>
  <c r="B48" i="54"/>
  <c r="B51" i="54" s="1"/>
  <c r="B109" i="54"/>
  <c r="E109" i="54" s="1"/>
  <c r="S4" i="53"/>
  <c r="S41" i="53"/>
  <c r="S15" i="53"/>
  <c r="S12" i="53"/>
  <c r="S49" i="53"/>
  <c r="S19" i="53"/>
  <c r="S28" i="53"/>
  <c r="S25" i="53"/>
  <c r="S7" i="53"/>
  <c r="S37" i="53"/>
  <c r="S33" i="53"/>
  <c r="S11" i="53"/>
  <c r="S13" i="53"/>
  <c r="S14" i="53"/>
  <c r="S31" i="53"/>
  <c r="S29" i="53"/>
  <c r="S18" i="53"/>
  <c r="S35" i="53"/>
  <c r="S45" i="53"/>
  <c r="S6" i="53"/>
  <c r="S23" i="53"/>
  <c r="S44" i="53"/>
  <c r="S10" i="53"/>
  <c r="S27" i="53"/>
  <c r="S24" i="53"/>
  <c r="S30" i="53"/>
  <c r="S47" i="53"/>
  <c r="S32" i="53"/>
  <c r="S34" i="53"/>
  <c r="S20" i="53"/>
  <c r="S8" i="53"/>
  <c r="S22" i="53"/>
  <c r="S39" i="53"/>
  <c r="S16" i="53"/>
  <c r="S26" i="53"/>
  <c r="S43" i="53"/>
  <c r="S51" i="53"/>
  <c r="S9" i="53"/>
  <c r="S46" i="53"/>
  <c r="S36" i="53"/>
  <c r="S17" i="53"/>
  <c r="S50" i="53"/>
  <c r="S5" i="53"/>
  <c r="S40" i="53"/>
  <c r="S38" i="53"/>
  <c r="S21" i="53"/>
  <c r="S48" i="53"/>
  <c r="S42" i="53"/>
  <c r="D10" i="53"/>
  <c r="E10" i="53"/>
  <c r="C10" i="53"/>
  <c r="G10" i="53"/>
  <c r="O7" i="53"/>
  <c r="J44" i="53"/>
  <c r="B28" i="52"/>
  <c r="A10" i="55"/>
  <c r="D9" i="55"/>
  <c r="E7" i="55"/>
  <c r="E8" i="55"/>
  <c r="D48" i="59" a="1"/>
  <c r="C171" i="54" a="1"/>
  <c r="D153" i="69" a="1"/>
  <c r="D153" i="54" a="1"/>
  <c r="C171" i="69" a="1"/>
  <c r="D153" i="68" a="1"/>
  <c r="C171" i="68" a="1"/>
  <c r="B218" i="75" l="1"/>
  <c r="B218" i="74"/>
  <c r="D48" i="59"/>
  <c r="B124" i="75"/>
  <c r="D124" i="75" s="1"/>
  <c r="E124" i="75" s="1"/>
  <c r="D153" i="54"/>
  <c r="D153" i="68"/>
  <c r="D153" i="69"/>
  <c r="E153" i="69" s="1"/>
  <c r="F121" i="75"/>
  <c r="C127" i="75"/>
  <c r="C171" i="69"/>
  <c r="C171" i="68"/>
  <c r="E171" i="68" s="1"/>
  <c r="C171" i="54"/>
  <c r="F121" i="74"/>
  <c r="C127" i="74"/>
  <c r="D124" i="74"/>
  <c r="E124" i="74" s="1"/>
  <c r="B127" i="74" s="1"/>
  <c r="B73" i="68"/>
  <c r="B75" i="68"/>
  <c r="B75" i="69"/>
  <c r="B73" i="69"/>
  <c r="B110" i="69"/>
  <c r="B110" i="66"/>
  <c r="B110" i="68"/>
  <c r="B110" i="67"/>
  <c r="B59" i="59"/>
  <c r="B30" i="59" s="1"/>
  <c r="B73" i="54"/>
  <c r="B218" i="52"/>
  <c r="B110" i="53"/>
  <c r="E110" i="53" s="1"/>
  <c r="F39" i="53" s="1"/>
  <c r="B17" i="54"/>
  <c r="E37" i="53"/>
  <c r="H10" i="53"/>
  <c r="C11" i="53" s="1"/>
  <c r="C12" i="53" s="1"/>
  <c r="F37" i="53"/>
  <c r="D37" i="53"/>
  <c r="C37" i="53"/>
  <c r="B110" i="54"/>
  <c r="E110" i="54" s="1"/>
  <c r="O8" i="53"/>
  <c r="B36" i="53"/>
  <c r="C43" i="53"/>
  <c r="C44" i="53" s="1"/>
  <c r="B33" i="53"/>
  <c r="B35" i="53"/>
  <c r="B31" i="53"/>
  <c r="D10" i="55"/>
  <c r="A11" i="55"/>
  <c r="E9" i="55"/>
  <c r="C66" i="52"/>
  <c r="C218" i="75" a="1"/>
  <c r="C218" i="52" a="1"/>
  <c r="D171" i="68" a="1"/>
  <c r="D218" i="52" a="1"/>
  <c r="C174" i="68" a="1"/>
  <c r="C174" i="69" a="1"/>
  <c r="D218" i="75" a="1"/>
  <c r="C218" i="74" a="1"/>
  <c r="D218" i="74" a="1"/>
  <c r="D171" i="54" a="1"/>
  <c r="D171" i="69" a="1"/>
  <c r="C174" i="54" a="1"/>
  <c r="D171" i="54" l="1"/>
  <c r="D171" i="68"/>
  <c r="D171" i="69"/>
  <c r="E171" i="69" s="1"/>
  <c r="B210" i="74"/>
  <c r="B210" i="75"/>
  <c r="F124" i="75"/>
  <c r="G127" i="75"/>
  <c r="B127" i="75"/>
  <c r="C174" i="69"/>
  <c r="C174" i="68"/>
  <c r="E174" i="68" s="1"/>
  <c r="C174" i="54"/>
  <c r="E127" i="74"/>
  <c r="F127" i="74" s="1"/>
  <c r="G127" i="74"/>
  <c r="F124" i="74"/>
  <c r="D218" i="75"/>
  <c r="E218" i="75" s="1"/>
  <c r="B108" i="75" s="1"/>
  <c r="C218" i="75"/>
  <c r="D218" i="74"/>
  <c r="C218" i="74"/>
  <c r="E218" i="74" s="1"/>
  <c r="B108" i="74" s="1"/>
  <c r="B77" i="68"/>
  <c r="B79" i="68" s="1"/>
  <c r="B81" i="68"/>
  <c r="B83" i="68" s="1"/>
  <c r="B85" i="68" s="1"/>
  <c r="B77" i="69"/>
  <c r="B79" i="69" s="1"/>
  <c r="B81" i="69"/>
  <c r="B83" i="69" s="1"/>
  <c r="B85" i="69" s="1"/>
  <c r="D218" i="52"/>
  <c r="C218" i="52"/>
  <c r="B210" i="52"/>
  <c r="E210" i="52" s="1"/>
  <c r="D11" i="53"/>
  <c r="D12" i="53" s="1"/>
  <c r="G11" i="53"/>
  <c r="G12" i="53" s="1"/>
  <c r="F11" i="53"/>
  <c r="F12" i="53" s="1"/>
  <c r="E11" i="53"/>
  <c r="E12" i="53" s="1"/>
  <c r="B219" i="52"/>
  <c r="E219" i="52" s="1"/>
  <c r="B220" i="52"/>
  <c r="E220" i="52" s="1"/>
  <c r="W6" i="53"/>
  <c r="D39" i="53"/>
  <c r="E39" i="53"/>
  <c r="W5" i="53"/>
  <c r="G39" i="53"/>
  <c r="W7" i="53"/>
  <c r="C39" i="53"/>
  <c r="W4" i="53"/>
  <c r="C48" i="53"/>
  <c r="O9" i="53"/>
  <c r="W8" i="53"/>
  <c r="A31" i="63"/>
  <c r="B32" i="53"/>
  <c r="B34" i="53"/>
  <c r="D46" i="53"/>
  <c r="C46" i="53"/>
  <c r="E46" i="53"/>
  <c r="F46" i="53"/>
  <c r="G45" i="53"/>
  <c r="A12" i="55"/>
  <c r="D11" i="55"/>
  <c r="E11" i="55"/>
  <c r="E10" i="55"/>
  <c r="F45" i="53"/>
  <c r="C45" i="53"/>
  <c r="D45" i="53"/>
  <c r="E45" i="53"/>
  <c r="D50" i="59" a="1"/>
  <c r="C52" i="59" a="1"/>
  <c r="C50" i="59" a="1"/>
  <c r="C155" i="68" a="1"/>
  <c r="C155" i="54" a="1"/>
  <c r="D174" i="69" a="1"/>
  <c r="D174" i="68" a="1"/>
  <c r="D155" i="68" a="1"/>
  <c r="D155" i="54" a="1"/>
  <c r="D155" i="69" a="1"/>
  <c r="D174" i="54" a="1"/>
  <c r="C155" i="69" a="1"/>
  <c r="C52" i="59" l="1"/>
  <c r="D50" i="59"/>
  <c r="C50" i="59"/>
  <c r="B224" i="74"/>
  <c r="B224" i="75"/>
  <c r="I127" i="74"/>
  <c r="D174" i="69"/>
  <c r="E174" i="69" s="1"/>
  <c r="D174" i="68"/>
  <c r="D174" i="54"/>
  <c r="B125" i="75"/>
  <c r="D125" i="75" s="1"/>
  <c r="E125" i="75" s="1"/>
  <c r="G128" i="75" s="1"/>
  <c r="F116" i="75"/>
  <c r="B122" i="75" s="1"/>
  <c r="D122" i="75" s="1"/>
  <c r="E122" i="75" s="1"/>
  <c r="F127" i="75"/>
  <c r="E127" i="75"/>
  <c r="C155" i="54"/>
  <c r="C155" i="68"/>
  <c r="E155" i="68" s="1"/>
  <c r="C155" i="69"/>
  <c r="F116" i="74"/>
  <c r="B122" i="74" s="1"/>
  <c r="B125" i="74"/>
  <c r="D155" i="68"/>
  <c r="D155" i="69"/>
  <c r="E155" i="69" s="1"/>
  <c r="D155" i="54"/>
  <c r="B116" i="52"/>
  <c r="H11" i="53"/>
  <c r="D90" i="52"/>
  <c r="B224" i="52"/>
  <c r="E224" i="52" s="1"/>
  <c r="C9" i="52" s="1"/>
  <c r="O10" i="53"/>
  <c r="W9" i="53"/>
  <c r="A17" i="62"/>
  <c r="G41" i="53"/>
  <c r="E41" i="53"/>
  <c r="G46" i="53"/>
  <c r="C41" i="53"/>
  <c r="F41" i="53"/>
  <c r="D41" i="53"/>
  <c r="A13" i="55"/>
  <c r="D12" i="55"/>
  <c r="E12" i="55" s="1"/>
  <c r="D52" i="59" a="1"/>
  <c r="C169" i="69" a="1"/>
  <c r="C172" i="69" a="1"/>
  <c r="C172" i="68" a="1"/>
  <c r="D172" i="68" a="1"/>
  <c r="D169" i="54" a="1"/>
  <c r="C172" i="54" a="1"/>
  <c r="C169" i="54" a="1"/>
  <c r="C169" i="68" a="1"/>
  <c r="D169" i="68" a="1"/>
  <c r="D172" i="54" a="1"/>
  <c r="D169" i="69" a="1"/>
  <c r="D172" i="69" a="1"/>
  <c r="F125" i="75" l="1"/>
  <c r="D52" i="59"/>
  <c r="I127" i="75"/>
  <c r="H128" i="75"/>
  <c r="F122" i="75"/>
  <c r="B231" i="75"/>
  <c r="B231" i="74"/>
  <c r="B128" i="75"/>
  <c r="C128" i="75"/>
  <c r="C172" i="54"/>
  <c r="C172" i="69"/>
  <c r="C172" i="68"/>
  <c r="E172" i="68" s="1"/>
  <c r="C169" i="69"/>
  <c r="C169" i="68"/>
  <c r="E169" i="68" s="1"/>
  <c r="C169" i="54"/>
  <c r="D125" i="74"/>
  <c r="E125" i="74" s="1"/>
  <c r="G128" i="74" s="1"/>
  <c r="D122" i="74"/>
  <c r="E122" i="74" s="1"/>
  <c r="D169" i="68"/>
  <c r="D169" i="69"/>
  <c r="E169" i="69" s="1"/>
  <c r="D169" i="54"/>
  <c r="D172" i="69"/>
  <c r="E172" i="69" s="1"/>
  <c r="D172" i="68"/>
  <c r="D172" i="54"/>
  <c r="B55" i="59"/>
  <c r="B61" i="59" s="1"/>
  <c r="B163" i="69"/>
  <c r="B163" i="68"/>
  <c r="B163" i="54"/>
  <c r="E163" i="54" s="1"/>
  <c r="B231" i="52"/>
  <c r="E231" i="52" s="1"/>
  <c r="X28" i="53"/>
  <c r="N4" i="53"/>
  <c r="O11" i="53"/>
  <c r="W10" i="53"/>
  <c r="X23" i="53"/>
  <c r="X18" i="53"/>
  <c r="X9" i="53"/>
  <c r="A14" i="55"/>
  <c r="D13" i="55"/>
  <c r="X8" i="53" l="1"/>
  <c r="X7" i="53"/>
  <c r="X6" i="53"/>
  <c r="X5" i="53"/>
  <c r="X4" i="53"/>
  <c r="F122" i="74"/>
  <c r="H128" i="74"/>
  <c r="F125" i="74"/>
  <c r="E128" i="75"/>
  <c r="F128" i="75" s="1"/>
  <c r="B128" i="74"/>
  <c r="C128" i="74"/>
  <c r="C62" i="52"/>
  <c r="AN3" i="52" s="1"/>
  <c r="AN4" i="52" s="1"/>
  <c r="B58" i="59" s="1"/>
  <c r="B22" i="59" s="1"/>
  <c r="O12" i="53"/>
  <c r="W11" i="53"/>
  <c r="E13" i="55"/>
  <c r="A15" i="55"/>
  <c r="D14" i="55"/>
  <c r="C49" i="53"/>
  <c r="J47" i="53"/>
  <c r="AG24" i="53" s="1"/>
  <c r="D53" i="59" a="1"/>
  <c r="D175" i="68" a="1"/>
  <c r="C175" i="54" a="1"/>
  <c r="D175" i="69" a="1"/>
  <c r="C175" i="69" a="1"/>
  <c r="D175" i="54" a="1"/>
  <c r="C175" i="68" a="1"/>
  <c r="D53" i="59" l="1"/>
  <c r="I128" i="75"/>
  <c r="E128" i="74"/>
  <c r="F128" i="74" s="1"/>
  <c r="C175" i="54"/>
  <c r="C175" i="69"/>
  <c r="C175" i="68"/>
  <c r="E175" i="68" s="1"/>
  <c r="D175" i="68"/>
  <c r="D175" i="69"/>
  <c r="E175" i="69" s="1"/>
  <c r="D175" i="54"/>
  <c r="O13" i="53"/>
  <c r="W12" i="53"/>
  <c r="A16" i="55"/>
  <c r="D15" i="55"/>
  <c r="E15" i="55" s="1"/>
  <c r="E14" i="55"/>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C53" i="59" a="1"/>
  <c r="C53" i="59" l="1"/>
  <c r="I128" i="74"/>
  <c r="E56" i="53"/>
  <c r="E80" i="53" s="1"/>
  <c r="G56" i="53"/>
  <c r="G80" i="53" s="1"/>
  <c r="D56" i="53"/>
  <c r="D80" i="53" s="1"/>
  <c r="F56" i="53"/>
  <c r="F80" i="53" s="1"/>
  <c r="C56" i="53"/>
  <c r="C80" i="53" s="1"/>
  <c r="O14" i="53"/>
  <c r="W13" i="53"/>
  <c r="A17" i="55"/>
  <c r="D16" i="55"/>
  <c r="O15" i="53" l="1"/>
  <c r="W14" i="53"/>
  <c r="E16" i="55"/>
  <c r="D17" i="55"/>
  <c r="A18" i="55"/>
  <c r="O16" i="53" l="1"/>
  <c r="W15" i="53"/>
  <c r="A19" i="55"/>
  <c r="D18" i="55"/>
  <c r="E17" i="55"/>
  <c r="O17" i="53" l="1"/>
  <c r="W16" i="53"/>
  <c r="E18" i="55"/>
  <c r="A20" i="55"/>
  <c r="D19" i="55"/>
  <c r="O18" i="53" l="1"/>
  <c r="W17" i="53"/>
  <c r="E19" i="55"/>
  <c r="A21" i="55"/>
  <c r="D20" i="55"/>
  <c r="O19" i="53" l="1"/>
  <c r="W18" i="53"/>
  <c r="X10" i="53"/>
  <c r="X11" i="53"/>
  <c r="X15" i="53"/>
  <c r="X13" i="53"/>
  <c r="X12" i="53"/>
  <c r="X17" i="53"/>
  <c r="X16" i="53"/>
  <c r="X14" i="53"/>
  <c r="E20" i="55"/>
  <c r="A22" i="55"/>
  <c r="D21" i="55"/>
  <c r="O20" i="53" l="1"/>
  <c r="W19" i="53"/>
  <c r="E21" i="55"/>
  <c r="A23" i="55"/>
  <c r="D22" i="55"/>
  <c r="O21" i="53" l="1"/>
  <c r="W20" i="53"/>
  <c r="E22" i="55"/>
  <c r="A24" i="55"/>
  <c r="D23" i="55"/>
  <c r="O22" i="53" l="1"/>
  <c r="W21" i="53"/>
  <c r="E23" i="55"/>
  <c r="D24" i="55"/>
  <c r="A25" i="55"/>
  <c r="B61" i="54"/>
  <c r="B77" i="54"/>
  <c r="B79" i="54" s="1"/>
  <c r="O23" i="53" l="1"/>
  <c r="W22" i="53"/>
  <c r="A26" i="55"/>
  <c r="D25" i="55"/>
  <c r="E24" i="55"/>
  <c r="B53" i="54"/>
  <c r="B81" i="54"/>
  <c r="B83" i="54" s="1"/>
  <c r="B85" i="54" s="1"/>
  <c r="H12" i="53"/>
  <c r="U1" i="53" s="1"/>
  <c r="U32" i="53" s="1"/>
  <c r="V32" i="53" s="1"/>
  <c r="B20" i="54"/>
  <c r="B22" i="54" l="1"/>
  <c r="O24" i="53"/>
  <c r="W23" i="53"/>
  <c r="X19" i="53"/>
  <c r="X22" i="53"/>
  <c r="X20" i="53"/>
  <c r="X21" i="53"/>
  <c r="A27" i="55"/>
  <c r="D26" i="55"/>
  <c r="E25" i="55"/>
  <c r="B63" i="54"/>
  <c r="B65" i="54" s="1"/>
  <c r="U6" i="53"/>
  <c r="U4" i="53"/>
  <c r="U16" i="53"/>
  <c r="U44" i="53"/>
  <c r="V44" i="53" s="1"/>
  <c r="U48" i="53"/>
  <c r="V48" i="53" s="1"/>
  <c r="U14" i="53"/>
  <c r="U20" i="53"/>
  <c r="U38" i="53"/>
  <c r="V38" i="53" s="1"/>
  <c r="U18" i="53"/>
  <c r="U43" i="53"/>
  <c r="V43" i="53" s="1"/>
  <c r="U15" i="53"/>
  <c r="U51" i="53"/>
  <c r="V51" i="53" s="1"/>
  <c r="U42" i="53"/>
  <c r="V42" i="53" s="1"/>
  <c r="U40" i="53"/>
  <c r="V40" i="53" s="1"/>
  <c r="U12" i="53"/>
  <c r="U49" i="53"/>
  <c r="V49" i="53" s="1"/>
  <c r="U11" i="53"/>
  <c r="U23" i="53"/>
  <c r="U24" i="53"/>
  <c r="U46" i="53"/>
  <c r="V46" i="53" s="1"/>
  <c r="U30" i="53"/>
  <c r="U10" i="53"/>
  <c r="U33" i="53"/>
  <c r="V33" i="53" s="1"/>
  <c r="U7" i="53"/>
  <c r="U27" i="53"/>
  <c r="U35" i="53"/>
  <c r="V35" i="53" s="1"/>
  <c r="U29" i="53"/>
  <c r="U50" i="53"/>
  <c r="V50" i="53" s="1"/>
  <c r="U22" i="53"/>
  <c r="U36" i="53"/>
  <c r="V36" i="53" s="1"/>
  <c r="U8" i="53"/>
  <c r="U47" i="53"/>
  <c r="V47" i="53" s="1"/>
  <c r="U41" i="53"/>
  <c r="V41" i="53" s="1"/>
  <c r="U5" i="53"/>
  <c r="U37" i="53"/>
  <c r="V37" i="53" s="1"/>
  <c r="U25" i="53"/>
  <c r="U28" i="53"/>
  <c r="U34" i="53"/>
  <c r="V34" i="53" s="1"/>
  <c r="U13" i="53"/>
  <c r="U21" i="53"/>
  <c r="U17" i="53"/>
  <c r="U31" i="53"/>
  <c r="U26" i="53"/>
  <c r="U39" i="53"/>
  <c r="V39" i="53" s="1"/>
  <c r="U9" i="53"/>
  <c r="U19" i="53"/>
  <c r="U45" i="53"/>
  <c r="V45" i="53" s="1"/>
  <c r="B23" i="54" l="1"/>
  <c r="O25" i="53"/>
  <c r="W24" i="53"/>
  <c r="E26" i="55"/>
  <c r="A28" i="55"/>
  <c r="D27" i="55"/>
  <c r="B34" i="54" l="1"/>
  <c r="B25" i="54"/>
  <c r="O26" i="53"/>
  <c r="W25" i="53"/>
  <c r="E27" i="55"/>
  <c r="A29" i="55"/>
  <c r="D28" i="55"/>
  <c r="B215" i="75" l="1"/>
  <c r="B215" i="74"/>
  <c r="B215" i="52"/>
  <c r="E215" i="52" s="1"/>
  <c r="D116" i="52" s="1"/>
  <c r="C122" i="52" s="1"/>
  <c r="B32" i="54"/>
  <c r="O27" i="53"/>
  <c r="W26" i="53"/>
  <c r="E28" i="55"/>
  <c r="A30" i="55"/>
  <c r="D29" i="55"/>
  <c r="B214" i="75" l="1"/>
  <c r="B214" i="74"/>
  <c r="B214" i="52"/>
  <c r="E214" i="52" s="1"/>
  <c r="B38" i="54"/>
  <c r="E218" i="52" s="1"/>
  <c r="O28" i="53"/>
  <c r="W27" i="53"/>
  <c r="E29" i="55"/>
  <c r="A31" i="55"/>
  <c r="D30" i="55"/>
  <c r="O29" i="53" l="1"/>
  <c r="X29" i="53" s="1"/>
  <c r="W28" i="53"/>
  <c r="X25" i="53"/>
  <c r="X26" i="53"/>
  <c r="X27" i="53"/>
  <c r="X24" i="53"/>
  <c r="A32" i="55"/>
  <c r="D31" i="55"/>
  <c r="E30" i="55"/>
  <c r="O30" i="53" l="1"/>
  <c r="W29" i="53"/>
  <c r="E31" i="55"/>
  <c r="F31" i="55" s="1"/>
  <c r="P31" i="53" s="1"/>
  <c r="D32" i="55"/>
  <c r="A33" i="55"/>
  <c r="A34" i="55" s="1"/>
  <c r="A35" i="55" s="1"/>
  <c r="A36" i="55" s="1"/>
  <c r="A37" i="55" s="1"/>
  <c r="A38" i="55" s="1"/>
  <c r="A39" i="55" s="1"/>
  <c r="A40" i="55" s="1"/>
  <c r="A41" i="55" s="1"/>
  <c r="A42" i="55" s="1"/>
  <c r="A43" i="55" s="1"/>
  <c r="A44" i="55" s="1"/>
  <c r="A45" i="55" s="1"/>
  <c r="A46" i="55" s="1"/>
  <c r="A47" i="55" s="1"/>
  <c r="A48" i="55" s="1"/>
  <c r="A49" i="55" s="1"/>
  <c r="A50" i="55" s="1"/>
  <c r="A51" i="55" s="1"/>
  <c r="O31" i="53" l="1"/>
  <c r="W30" i="53"/>
  <c r="X30" i="53"/>
  <c r="G7" i="53"/>
  <c r="F4" i="55"/>
  <c r="P4" i="53" s="1"/>
  <c r="F6" i="55"/>
  <c r="P6" i="53" s="1"/>
  <c r="F5" i="55"/>
  <c r="P5" i="53" s="1"/>
  <c r="F7" i="55"/>
  <c r="P7" i="53" s="1"/>
  <c r="F8" i="55"/>
  <c r="P8" i="53" s="1"/>
  <c r="C7" i="53"/>
  <c r="C8" i="53" s="1"/>
  <c r="F9" i="55"/>
  <c r="P9" i="53" s="1"/>
  <c r="F10" i="55"/>
  <c r="P10" i="53" s="1"/>
  <c r="F11" i="55"/>
  <c r="P11" i="53" s="1"/>
  <c r="F12" i="55"/>
  <c r="P12" i="53" s="1"/>
  <c r="F13" i="55"/>
  <c r="P13" i="53" s="1"/>
  <c r="F14" i="55"/>
  <c r="P14" i="53" s="1"/>
  <c r="F15" i="55"/>
  <c r="P15" i="53" s="1"/>
  <c r="D7" i="53"/>
  <c r="F16" i="55"/>
  <c r="P16" i="53" s="1"/>
  <c r="F17" i="55"/>
  <c r="P17" i="53" s="1"/>
  <c r="F18" i="55"/>
  <c r="P18" i="53" s="1"/>
  <c r="F19" i="55"/>
  <c r="P19" i="53" s="1"/>
  <c r="F20" i="55"/>
  <c r="P20" i="53" s="1"/>
  <c r="E7" i="53"/>
  <c r="F21" i="55"/>
  <c r="P21" i="53" s="1"/>
  <c r="F22" i="55"/>
  <c r="P22" i="53" s="1"/>
  <c r="F23" i="55"/>
  <c r="P23" i="53" s="1"/>
  <c r="F24" i="55"/>
  <c r="P24" i="53" s="1"/>
  <c r="F25" i="55"/>
  <c r="P25" i="53" s="1"/>
  <c r="F7" i="53"/>
  <c r="F26" i="55"/>
  <c r="P26" i="53" s="1"/>
  <c r="F27" i="55"/>
  <c r="P27" i="53" s="1"/>
  <c r="F28" i="55"/>
  <c r="P28" i="53" s="1"/>
  <c r="F29" i="55"/>
  <c r="P29" i="53" s="1"/>
  <c r="F30" i="55"/>
  <c r="P30" i="53" s="1"/>
  <c r="E8" i="53" l="1"/>
  <c r="E60" i="53" s="1"/>
  <c r="G8" i="53"/>
  <c r="G60" i="53" s="1"/>
  <c r="F8" i="53"/>
  <c r="F60" i="53" s="1"/>
  <c r="D8" i="53"/>
  <c r="D60" i="53" s="1"/>
  <c r="O32" i="53"/>
  <c r="O33" i="53" s="1"/>
  <c r="O34" i="53" s="1"/>
  <c r="O35" i="53" s="1"/>
  <c r="O36" i="53" s="1"/>
  <c r="O37" i="53" s="1"/>
  <c r="O38" i="53" s="1"/>
  <c r="O39" i="53" s="1"/>
  <c r="O40" i="53" s="1"/>
  <c r="O41" i="53" s="1"/>
  <c r="O42" i="53" s="1"/>
  <c r="O43" i="53" s="1"/>
  <c r="O44" i="53" s="1"/>
  <c r="O45" i="53" s="1"/>
  <c r="O46" i="53" s="1"/>
  <c r="O47" i="53" s="1"/>
  <c r="O48" i="53" s="1"/>
  <c r="O49" i="53" s="1"/>
  <c r="O50" i="53" s="1"/>
  <c r="O51" i="53" s="1"/>
  <c r="W31" i="53"/>
  <c r="X31" i="53"/>
  <c r="H7" i="53"/>
  <c r="C60" i="53" l="1"/>
  <c r="H8" i="53"/>
  <c r="AA1" i="53" l="1"/>
  <c r="T1" i="53"/>
  <c r="H60" i="53"/>
  <c r="B199" i="74" l="1"/>
  <c r="B199" i="75"/>
  <c r="B199" i="52"/>
  <c r="E199" i="52" s="1"/>
  <c r="C124" i="52" s="1"/>
  <c r="T11" i="53"/>
  <c r="T21" i="53"/>
  <c r="T8" i="53"/>
  <c r="T14" i="53"/>
  <c r="T13" i="53"/>
  <c r="T16" i="53"/>
  <c r="T18" i="53"/>
  <c r="T4" i="53"/>
  <c r="T23" i="53"/>
  <c r="T24" i="53"/>
  <c r="T15" i="53"/>
  <c r="T9" i="53"/>
  <c r="T5" i="53"/>
  <c r="T22" i="53"/>
  <c r="T25" i="53"/>
  <c r="T29" i="53"/>
  <c r="T7" i="53"/>
  <c r="T17" i="53"/>
  <c r="T28" i="53"/>
  <c r="T31" i="53"/>
  <c r="T20" i="53"/>
  <c r="T30" i="53"/>
  <c r="T12" i="53"/>
  <c r="T27" i="53"/>
  <c r="T6" i="53"/>
  <c r="T26" i="53"/>
  <c r="T19" i="53"/>
  <c r="T10" i="53"/>
  <c r="AA11" i="53"/>
  <c r="AA29" i="53"/>
  <c r="AA14" i="53"/>
  <c r="AA8" i="53"/>
  <c r="AA18" i="53"/>
  <c r="AA19" i="53"/>
  <c r="AA28" i="53"/>
  <c r="AA13" i="53"/>
  <c r="AA30" i="53"/>
  <c r="AA25" i="53"/>
  <c r="AA20" i="53"/>
  <c r="AA6" i="53"/>
  <c r="AA12" i="53"/>
  <c r="AA23" i="53"/>
  <c r="AA16" i="53"/>
  <c r="AA4" i="53"/>
  <c r="AA27" i="53"/>
  <c r="AA9" i="53"/>
  <c r="AA24" i="53"/>
  <c r="AA26" i="53"/>
  <c r="AA15" i="53"/>
  <c r="AA21" i="53"/>
  <c r="AA10" i="53"/>
  <c r="AA17" i="53"/>
  <c r="AA5" i="53"/>
  <c r="AA7" i="53"/>
  <c r="AA31" i="53"/>
  <c r="AA22" i="53"/>
  <c r="V10" i="53" l="1"/>
  <c r="Y10" i="53" s="1"/>
  <c r="Z10" i="53" s="1"/>
  <c r="AB10" i="53" s="1"/>
  <c r="AC10" i="53" s="1"/>
  <c r="V27" i="53"/>
  <c r="Y27" i="53" s="1"/>
  <c r="Z27" i="53" s="1"/>
  <c r="AB27" i="53" s="1"/>
  <c r="AC27" i="53" s="1"/>
  <c r="V31" i="53"/>
  <c r="Y31" i="53" s="1"/>
  <c r="Z31" i="53" s="1"/>
  <c r="AB31" i="53" s="1"/>
  <c r="AC31" i="53" s="1"/>
  <c r="V29" i="53"/>
  <c r="Y29" i="53" s="1"/>
  <c r="Z29" i="53" s="1"/>
  <c r="AB29" i="53" s="1"/>
  <c r="AC29" i="53" s="1"/>
  <c r="V9" i="53"/>
  <c r="Y9" i="53" s="1"/>
  <c r="Z9" i="53" s="1"/>
  <c r="AB9" i="53" s="1"/>
  <c r="AC9" i="53" s="1"/>
  <c r="V4" i="53"/>
  <c r="Y4" i="53" s="1"/>
  <c r="Z4" i="53" s="1"/>
  <c r="AB4" i="53" s="1"/>
  <c r="AC4" i="53" s="1"/>
  <c r="V14" i="53"/>
  <c r="Y14" i="53" s="1"/>
  <c r="Z14" i="53" s="1"/>
  <c r="AB14" i="53" s="1"/>
  <c r="AC14" i="53" s="1"/>
  <c r="V19" i="53"/>
  <c r="Y19" i="53" s="1"/>
  <c r="Z19" i="53" s="1"/>
  <c r="AB19" i="53" s="1"/>
  <c r="AC19" i="53" s="1"/>
  <c r="V12" i="53"/>
  <c r="Y12" i="53" s="1"/>
  <c r="Z12" i="53" s="1"/>
  <c r="AB12" i="53" s="1"/>
  <c r="AC12" i="53" s="1"/>
  <c r="V28" i="53"/>
  <c r="Y28" i="53" s="1"/>
  <c r="Z28" i="53" s="1"/>
  <c r="AB28" i="53" s="1"/>
  <c r="AC28" i="53" s="1"/>
  <c r="V25" i="53"/>
  <c r="Y25" i="53" s="1"/>
  <c r="Z25" i="53" s="1"/>
  <c r="AB25" i="53" s="1"/>
  <c r="AC25" i="53" s="1"/>
  <c r="V15" i="53"/>
  <c r="Y15" i="53" s="1"/>
  <c r="Z15" i="53" s="1"/>
  <c r="AB15" i="53" s="1"/>
  <c r="AC15" i="53" s="1"/>
  <c r="V18" i="53"/>
  <c r="Y18" i="53" s="1"/>
  <c r="Z18" i="53" s="1"/>
  <c r="AB18" i="53" s="1"/>
  <c r="AC18" i="53" s="1"/>
  <c r="V8" i="53"/>
  <c r="Y8" i="53" s="1"/>
  <c r="Z8" i="53" s="1"/>
  <c r="AB8" i="53" s="1"/>
  <c r="AC8" i="53" s="1"/>
  <c r="V26" i="53"/>
  <c r="Y26" i="53" s="1"/>
  <c r="Z26" i="53" s="1"/>
  <c r="AB26" i="53" s="1"/>
  <c r="AC26" i="53" s="1"/>
  <c r="V30" i="53"/>
  <c r="Y30" i="53" s="1"/>
  <c r="Z30" i="53" s="1"/>
  <c r="AB30" i="53" s="1"/>
  <c r="AC30" i="53" s="1"/>
  <c r="V17" i="53"/>
  <c r="Y17" i="53" s="1"/>
  <c r="Z17" i="53" s="1"/>
  <c r="AB17" i="53" s="1"/>
  <c r="AC17" i="53" s="1"/>
  <c r="V22" i="53"/>
  <c r="Y22" i="53" s="1"/>
  <c r="Z22" i="53" s="1"/>
  <c r="AB22" i="53" s="1"/>
  <c r="AC22" i="53" s="1"/>
  <c r="V24" i="53"/>
  <c r="Y24" i="53" s="1"/>
  <c r="Z24" i="53" s="1"/>
  <c r="AB24" i="53" s="1"/>
  <c r="AC24" i="53" s="1"/>
  <c r="V16" i="53"/>
  <c r="Y16" i="53" s="1"/>
  <c r="Z16" i="53" s="1"/>
  <c r="AB16" i="53" s="1"/>
  <c r="AC16" i="53" s="1"/>
  <c r="V21" i="53"/>
  <c r="Y21" i="53" s="1"/>
  <c r="Z21" i="53" s="1"/>
  <c r="AB21" i="53" s="1"/>
  <c r="AC21" i="53" s="1"/>
  <c r="V6" i="53"/>
  <c r="Y6" i="53" s="1"/>
  <c r="Z6" i="53" s="1"/>
  <c r="AB6" i="53" s="1"/>
  <c r="AC6" i="53" s="1"/>
  <c r="V20" i="53"/>
  <c r="Y20" i="53" s="1"/>
  <c r="Z20" i="53" s="1"/>
  <c r="AB20" i="53" s="1"/>
  <c r="AC20" i="53" s="1"/>
  <c r="V7" i="53"/>
  <c r="Y7" i="53" s="1"/>
  <c r="Z7" i="53" s="1"/>
  <c r="AB7" i="53" s="1"/>
  <c r="AC7" i="53" s="1"/>
  <c r="V5" i="53"/>
  <c r="Y5" i="53" s="1"/>
  <c r="Z5" i="53" s="1"/>
  <c r="AB5" i="53" s="1"/>
  <c r="AC5" i="53" s="1"/>
  <c r="V23" i="53"/>
  <c r="Y23" i="53" s="1"/>
  <c r="Z23" i="53" s="1"/>
  <c r="AB23" i="53" s="1"/>
  <c r="AC23" i="53" s="1"/>
  <c r="V13" i="53"/>
  <c r="Y13" i="53" s="1"/>
  <c r="Z13" i="53" s="1"/>
  <c r="AB13" i="53" s="1"/>
  <c r="AC13" i="53" s="1"/>
  <c r="V11" i="53"/>
  <c r="Y11" i="53" s="1"/>
  <c r="Z11" i="53" s="1"/>
  <c r="AB11" i="53" s="1"/>
  <c r="AC11" i="53" s="1"/>
  <c r="F61" i="53" l="1"/>
  <c r="C61" i="53"/>
  <c r="G61" i="53"/>
  <c r="E61" i="53"/>
  <c r="D61" i="53"/>
  <c r="E67" i="53" l="1"/>
  <c r="E79" i="53" s="1"/>
  <c r="E82" i="53" s="1"/>
  <c r="F67" i="53"/>
  <c r="F79" i="53" s="1"/>
  <c r="F82" i="53" s="1"/>
  <c r="C75" i="53"/>
  <c r="H61" i="53"/>
  <c r="C67" i="53"/>
  <c r="C79" i="53" s="1"/>
  <c r="C82" i="53" s="1"/>
  <c r="F75" i="53"/>
  <c r="G67" i="53"/>
  <c r="G79" i="53" s="1"/>
  <c r="G82" i="53" s="1"/>
  <c r="G75" i="53"/>
  <c r="E75" i="53"/>
  <c r="D75" i="53"/>
  <c r="D67" i="53"/>
  <c r="D79" i="53" s="1"/>
  <c r="D82" i="53" s="1"/>
  <c r="H82" i="53" l="1"/>
  <c r="H75" i="53"/>
  <c r="H67" i="53"/>
  <c r="B203" i="74" l="1"/>
  <c r="B203" i="75"/>
  <c r="B206" i="74"/>
  <c r="B206" i="75"/>
  <c r="B203" i="52"/>
  <c r="E203" i="52" s="1"/>
  <c r="D115" i="52" s="1"/>
  <c r="C121" i="52" s="1"/>
  <c r="B206" i="52"/>
  <c r="E206" i="52" s="1"/>
  <c r="H79" i="53"/>
  <c r="H77" i="53"/>
  <c r="B205" i="74" l="1"/>
  <c r="B205" i="75"/>
  <c r="B204" i="74"/>
  <c r="B204" i="75"/>
  <c r="B204" i="52"/>
  <c r="E204" i="52" s="1"/>
  <c r="F115" i="52" s="1"/>
  <c r="B205" i="52"/>
  <c r="E205" i="52" s="1"/>
  <c r="B115" i="52"/>
  <c r="H85" i="53"/>
  <c r="C31" i="59"/>
  <c r="B207" i="74" l="1"/>
  <c r="B207" i="75"/>
  <c r="B54" i="59"/>
  <c r="B60" i="59" s="1"/>
  <c r="B31" i="59" s="1"/>
  <c r="B162" i="68"/>
  <c r="B162" i="69"/>
  <c r="B207" i="52"/>
  <c r="E207" i="52" s="1"/>
  <c r="B111" i="52" s="1"/>
  <c r="B162" i="54"/>
  <c r="E162" i="54" s="1"/>
  <c r="B34" i="52"/>
  <c r="B76" i="52"/>
  <c r="B158" i="68" l="1"/>
  <c r="B158" i="69"/>
  <c r="B130" i="68"/>
  <c r="B130" i="69"/>
  <c r="B116" i="53"/>
  <c r="B116" i="66"/>
  <c r="B116" i="68"/>
  <c r="B116" i="67"/>
  <c r="B116" i="69"/>
  <c r="B158" i="54"/>
  <c r="E158" i="54" s="1"/>
  <c r="B78" i="52"/>
  <c r="B130" i="54"/>
  <c r="E130" i="54" s="1"/>
  <c r="B36" i="52"/>
  <c r="B116" i="54"/>
  <c r="E116" i="54" s="1"/>
  <c r="E116" i="53"/>
  <c r="B132" i="68" l="1"/>
  <c r="B132" i="69"/>
  <c r="B118" i="66"/>
  <c r="B118" i="68"/>
  <c r="B118" i="69"/>
  <c r="B118" i="67"/>
  <c r="B132" i="54"/>
  <c r="E132" i="54" s="1"/>
  <c r="B54" i="54" s="1"/>
  <c r="B55" i="54" s="1"/>
  <c r="B57" i="54" s="1"/>
  <c r="B118" i="54"/>
  <c r="E118" i="54" s="1"/>
  <c r="B118" i="53"/>
  <c r="E118" i="53"/>
  <c r="C62" i="53" s="1"/>
  <c r="C69" i="53" s="1"/>
  <c r="B217" i="75" l="1"/>
  <c r="B217" i="74"/>
  <c r="B217" i="52"/>
  <c r="E217" i="52" s="1"/>
  <c r="B27" i="54"/>
  <c r="B26" i="54"/>
  <c r="B59" i="54"/>
  <c r="E62" i="53"/>
  <c r="E69" i="53" s="1"/>
  <c r="F62" i="53"/>
  <c r="F69" i="53" s="1"/>
  <c r="G62" i="53"/>
  <c r="G69" i="53" s="1"/>
  <c r="H62" i="53"/>
  <c r="D62" i="53"/>
  <c r="D69" i="53" s="1"/>
  <c r="B28" i="54" l="1"/>
  <c r="H69" i="53"/>
  <c r="B121" i="52"/>
  <c r="B212" i="75" l="1"/>
  <c r="B212" i="74"/>
  <c r="B200" i="74"/>
  <c r="B200" i="75"/>
  <c r="B168" i="68"/>
  <c r="B168" i="69"/>
  <c r="B212" i="52"/>
  <c r="E212" i="52" s="1"/>
  <c r="B30" i="54"/>
  <c r="B200" i="52"/>
  <c r="E200" i="52" s="1"/>
  <c r="H71" i="53"/>
  <c r="D121" i="52"/>
  <c r="E121" i="52" s="1"/>
  <c r="B168" i="54"/>
  <c r="E168" i="54" s="1"/>
  <c r="B213" i="74" l="1"/>
  <c r="B213" i="75"/>
  <c r="B201" i="74"/>
  <c r="B201" i="75"/>
  <c r="B213" i="52"/>
  <c r="E213" i="52" s="1"/>
  <c r="B108" i="52" s="1"/>
  <c r="B50" i="59" s="1"/>
  <c r="B25" i="59" s="1"/>
  <c r="H127" i="52"/>
  <c r="B201" i="52"/>
  <c r="E201" i="52" s="1"/>
  <c r="B106" i="52" s="1"/>
  <c r="H73" i="53"/>
  <c r="C127" i="52"/>
  <c r="F121" i="52"/>
  <c r="B202" i="74" l="1"/>
  <c r="B202" i="75"/>
  <c r="F116" i="52"/>
  <c r="B122" i="52" s="1"/>
  <c r="B169" i="69" s="1"/>
  <c r="B125" i="52"/>
  <c r="B172" i="68" s="1"/>
  <c r="B48" i="59"/>
  <c r="B23" i="59" s="1"/>
  <c r="B153" i="69"/>
  <c r="B153" i="68"/>
  <c r="B155" i="54"/>
  <c r="E155" i="54" s="1"/>
  <c r="B155" i="69"/>
  <c r="B155" i="68"/>
  <c r="B202" i="52"/>
  <c r="E202" i="52" s="1"/>
  <c r="B153" i="54"/>
  <c r="E153" i="54" s="1"/>
  <c r="B124" i="52"/>
  <c r="D125" i="52" l="1"/>
  <c r="E125" i="52" s="1"/>
  <c r="G128" i="52" s="1"/>
  <c r="B169" i="54"/>
  <c r="E169" i="54" s="1"/>
  <c r="D122" i="52"/>
  <c r="E122" i="52" s="1"/>
  <c r="H128" i="52" s="1"/>
  <c r="B169" i="68"/>
  <c r="B172" i="54"/>
  <c r="E172" i="54" s="1"/>
  <c r="B172" i="69"/>
  <c r="B171" i="69"/>
  <c r="B171" i="68"/>
  <c r="F125" i="52"/>
  <c r="B171" i="54"/>
  <c r="E171" i="54" s="1"/>
  <c r="D124" i="52"/>
  <c r="E124" i="52" s="1"/>
  <c r="B127" i="52" s="1"/>
  <c r="F122" i="52" l="1"/>
  <c r="B128" i="52"/>
  <c r="B175" i="68" s="1"/>
  <c r="C128" i="52"/>
  <c r="B174" i="68"/>
  <c r="B174" i="69"/>
  <c r="F124" i="52"/>
  <c r="G127" i="52"/>
  <c r="B175" i="69" l="1"/>
  <c r="B175" i="54"/>
  <c r="E175" i="54" s="1"/>
  <c r="E128" i="52"/>
  <c r="F128" i="52" s="1"/>
  <c r="B53" i="59" s="1"/>
  <c r="E127" i="52"/>
  <c r="B174" i="54"/>
  <c r="E174" i="54" s="1"/>
  <c r="F127" i="52" l="1"/>
  <c r="B52" i="59" s="1"/>
  <c r="B36" i="59" s="1"/>
  <c r="I128" i="52"/>
  <c r="C22" i="59" l="1"/>
  <c r="I39" i="59"/>
  <c r="I38" i="59"/>
  <c r="I127" i="52"/>
  <c r="B39"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Shay Kavanagh</author>
    <author>Uras Antonella</author>
  </authors>
  <commentList>
    <comment ref="AD1" authorId="0" shapeId="0" xr:uid="{869A3B58-26DF-4C59-8308-D79A925941C7}">
      <text>
        <r>
          <rPr>
            <sz val="9"/>
            <color indexed="81"/>
            <rFont val="Tahoma"/>
            <family val="2"/>
          </rPr>
          <t xml:space="preserve">These need to be modified once DEAP4 is ready for this change to low, intermediate, medium, high (latest EN14825 nomenclature for temps has changed)
</t>
        </r>
      </text>
    </comment>
    <comment ref="N4" authorId="0" shapeId="0" xr:uid="{7726E453-6003-49CF-A6BA-62AA4C07506F}">
      <text>
        <r>
          <rPr>
            <b/>
            <sz val="9"/>
            <color indexed="81"/>
            <rFont val="Tahoma"/>
            <family val="2"/>
          </rPr>
          <t>I.S. EN 14511 removed for standalone tool.</t>
        </r>
      </text>
    </comment>
    <comment ref="N6" authorId="0" shapeId="0" xr:uid="{13AE2583-4071-4838-A546-BD89B505681F}">
      <text>
        <r>
          <rPr>
            <b/>
            <sz val="9"/>
            <color indexed="81"/>
            <rFont val="Tahoma"/>
            <family val="2"/>
          </rPr>
          <t>I.S. EN 255-3 removed from standalone tool</t>
        </r>
      </text>
    </comment>
    <comment ref="D128" authorId="1" shapeId="0" xr:uid="{1E3C5E08-EF39-414B-8A91-AEB9726473BF}">
      <text>
        <r>
          <rPr>
            <b/>
            <sz val="9"/>
            <color indexed="81"/>
            <rFont val="Tahoma"/>
            <family val="2"/>
          </rPr>
          <t>From version 2.1 this adjustment is no longer applied as the DEAP software now calculates the water heating renewable contribution for heat pumps in group heating systems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Shay Kavanagh</author>
    <author>Uras Antonella</author>
  </authors>
  <commentList>
    <comment ref="AD1" authorId="0" shapeId="0" xr:uid="{6240F282-0D42-4DC9-8CC1-059E806A2B6F}">
      <text>
        <r>
          <rPr>
            <sz val="9"/>
            <color indexed="81"/>
            <rFont val="Tahoma"/>
            <family val="2"/>
          </rPr>
          <t xml:space="preserve">These need to be modified once DEAP4 is ready for this change to low, intermediate, medium, high (latest EN14825 nomenclature for temps has changed)
</t>
        </r>
      </text>
    </comment>
    <comment ref="N4" authorId="0" shapeId="0" xr:uid="{61F25DB5-EC6E-4B35-9B7E-D34849817325}">
      <text>
        <r>
          <rPr>
            <b/>
            <sz val="9"/>
            <color indexed="81"/>
            <rFont val="Tahoma"/>
            <family val="2"/>
          </rPr>
          <t>I.S. EN 14511 removed for standalone tool.</t>
        </r>
      </text>
    </comment>
    <comment ref="N6" authorId="0" shapeId="0" xr:uid="{6440EBBE-CA19-452A-BE37-64A1B32056DF}">
      <text>
        <r>
          <rPr>
            <b/>
            <sz val="9"/>
            <color indexed="81"/>
            <rFont val="Tahoma"/>
            <family val="2"/>
          </rPr>
          <t>I.S. EN 255-3 removed from standalone tool</t>
        </r>
      </text>
    </comment>
    <comment ref="D128" authorId="1" shapeId="0" xr:uid="{3693FA18-26DC-47B3-8678-694E283946C9}">
      <text>
        <r>
          <rPr>
            <b/>
            <sz val="9"/>
            <color indexed="81"/>
            <rFont val="Tahoma"/>
            <family val="2"/>
          </rPr>
          <t>From version 2.1 this adjustment is no longer applied as the DEAP software now calculates the water heating renewable contribution for heat pumps in group heating systems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Shay Kavanagh</author>
    <author>Uras Antonella</author>
  </authors>
  <commentList>
    <comment ref="AD1" authorId="0" shapeId="0" xr:uid="{5C419F3D-87B1-493B-9F8D-11774DB30C1F}">
      <text>
        <r>
          <rPr>
            <sz val="9"/>
            <color indexed="81"/>
            <rFont val="Tahoma"/>
            <family val="2"/>
          </rPr>
          <t xml:space="preserve">These need to be modified once DEAP4 is ready for this change to low, intermediate, medium, high (latest EN14825 nomenclature for temps has changed)
</t>
        </r>
      </text>
    </comment>
    <comment ref="N4" authorId="0" shapeId="0" xr:uid="{BCAF9F2A-153D-4795-9749-365CA2A2EB5C}">
      <text>
        <r>
          <rPr>
            <b/>
            <sz val="9"/>
            <color indexed="81"/>
            <rFont val="Tahoma"/>
            <family val="2"/>
          </rPr>
          <t>I.S. EN 14511 removed for standalone tool.</t>
        </r>
      </text>
    </comment>
    <comment ref="N6" authorId="0" shapeId="0" xr:uid="{A9DD2842-51A8-4F01-BBFB-58052292ADA3}">
      <text>
        <r>
          <rPr>
            <b/>
            <sz val="9"/>
            <color indexed="81"/>
            <rFont val="Tahoma"/>
            <family val="2"/>
          </rPr>
          <t>I.S. EN 255-3 removed from standalone tool</t>
        </r>
      </text>
    </comment>
    <comment ref="D128" authorId="1" shapeId="0" xr:uid="{6967244E-169C-4572-9CCC-285C52224EDE}">
      <text>
        <r>
          <rPr>
            <b/>
            <sz val="9"/>
            <color indexed="81"/>
            <rFont val="Tahoma"/>
            <family val="2"/>
          </rPr>
          <t>From version 2.1 this adjustment is no longer applied as the DEAP software now calculates the water heating renewable contribution for heat pumps in group heating systems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Shay Kavanagh</author>
  </authors>
  <commentList>
    <comment ref="A31" authorId="0" shapeId="0" xr:uid="{E59E9257-D519-4ED8-BDB0-6D58AE5551C7}">
      <text>
        <r>
          <rPr>
            <sz val="9"/>
            <color indexed="81"/>
            <rFont val="Tahoma"/>
            <family val="2"/>
          </rPr>
          <t xml:space="preserve">
1 and only one means a valid heat pump is selected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Shay Kavanagh</author>
  </authors>
  <commentList>
    <comment ref="A31" authorId="0" shapeId="0" xr:uid="{BF97E226-A650-4C43-929B-188625A105B6}">
      <text>
        <r>
          <rPr>
            <sz val="9"/>
            <color indexed="81"/>
            <rFont val="Tahoma"/>
            <family val="2"/>
          </rPr>
          <t xml:space="preserve">
1 and only one means a valid heat pump is selected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Shay Kavanagh</author>
  </authors>
  <commentList>
    <comment ref="A31" authorId="0" shapeId="0" xr:uid="{A754D02C-969A-4367-B785-53AE26063DAE}">
      <text>
        <r>
          <rPr>
            <sz val="9"/>
            <color indexed="81"/>
            <rFont val="Tahoma"/>
            <family val="2"/>
          </rPr>
          <t xml:space="preserve">
1 and only one means a valid heat pump is selected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Shay Kavanagh</author>
  </authors>
  <commentList>
    <comment ref="A17" authorId="0" shapeId="0" xr:uid="{014867AE-8B50-46ED-A4FB-FD0C0BFAE57E}">
      <text>
        <r>
          <rPr>
            <sz val="9"/>
            <color indexed="81"/>
            <rFont val="Tahoma"/>
            <family val="2"/>
          </rPr>
          <t xml:space="preserve">
1 and only one (no more no less) means a valid heat pump is selected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Shay Kavanagh</author>
  </authors>
  <commentList>
    <comment ref="A17" authorId="0" shapeId="0" xr:uid="{2880F8D9-4180-40DC-ABE6-2C5BD58CFC59}">
      <text>
        <r>
          <rPr>
            <sz val="9"/>
            <color indexed="81"/>
            <rFont val="Tahoma"/>
            <family val="2"/>
          </rPr>
          <t xml:space="preserve">
1 and only one (no more no less) means a valid heat pump is selected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Shay Kavanagh</author>
  </authors>
  <commentList>
    <comment ref="A17" authorId="0" shapeId="0" xr:uid="{0F35E995-3FF5-4F53-98E0-BC2DAE4CBCD8}">
      <text>
        <r>
          <rPr>
            <sz val="9"/>
            <color indexed="81"/>
            <rFont val="Tahoma"/>
            <family val="2"/>
          </rPr>
          <t xml:space="preserve">
1 and only one (no more no less) means a valid heat pump is selected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<sst xmlns="http://schemas.openxmlformats.org/spreadsheetml/2006/main" count="3514" uniqueCount="661">
  <si>
    <t>Date</t>
  </si>
  <si>
    <t>Rev</t>
  </si>
  <si>
    <t>Change description</t>
  </si>
  <si>
    <t>tabs affected</t>
  </si>
  <si>
    <t>Drafted by</t>
  </si>
  <si>
    <t>Reviewed by</t>
  </si>
  <si>
    <t>Approved by</t>
  </si>
  <si>
    <t>V2.1 DRAFT 1</t>
  </si>
  <si>
    <t>Removed formula in cell D128 and replaced with 0. The RER adjustment in tab DEAPEntries, B36 to B39, will no longer include the water heating adjustment as this is included in the RER calculation carried out in the software. This calculation is documented in the DEAP Workbook and in the document describing this change.</t>
  </si>
  <si>
    <t>HP_1, HP_2, HP_3</t>
  </si>
  <si>
    <t>Antonella Uras</t>
  </si>
  <si>
    <t>V2.1 DRAFT 2</t>
  </si>
  <si>
    <t>Changed primary electricity factors</t>
  </si>
  <si>
    <t>DEAPEntries cell B11</t>
  </si>
  <si>
    <t>Set cell G128 in HP1, HP2, HP3 to E125, replacing the IF statement</t>
  </si>
  <si>
    <t>G128 in HP1, HP2, HP3 to E125</t>
  </si>
  <si>
    <t>V2.1 DRAFT 3</t>
  </si>
  <si>
    <t>Fix for HP calculation where TOL = -7, see separate Change description document</t>
  </si>
  <si>
    <t>Cells X4-X8 in tab Heating Calc</t>
  </si>
  <si>
    <t>Dwelling Energy Assessment Procedure (DEAP) heat pump methodology update</t>
  </si>
  <si>
    <t>Irish official method for rating the energy performance of dwellings</t>
  </si>
  <si>
    <t>For use alongside DEAP 4</t>
  </si>
  <si>
    <t>Date: August 2024</t>
  </si>
  <si>
    <t xml:space="preserve"> </t>
  </si>
  <si>
    <t>Rev 1.2</t>
  </si>
  <si>
    <t>Initial published version</t>
  </si>
  <si>
    <t>Rev 2.0</t>
  </si>
  <si>
    <t>HeatLossWatts (HP tab) reduced by CHP fraction</t>
  </si>
  <si>
    <t>Rev 2.1</t>
  </si>
  <si>
    <t>Removed the water heating adjustment to the RER
Changed the electricity primary energy factor</t>
  </si>
  <si>
    <r>
      <rPr>
        <b/>
        <u/>
        <sz val="10"/>
        <color theme="4" tint="-0.249977111117893"/>
        <rFont val="Arial"/>
        <family val="2"/>
      </rPr>
      <t>Instructions for use:</t>
    </r>
    <r>
      <rPr>
        <sz val="10"/>
        <color theme="4" tint="-0.249977111117893"/>
        <rFont val="Arial"/>
        <family val="2"/>
      </rPr>
      <t xml:space="preserve">
1) Complete the DEAP assessment as far as the heat sources entries in DEAP software/workbook. This includes dimensions, fabric, windows, water heating (not including hot water heat source) storage/controls/distribution and space heating controls. 
2) Complete the heat pump designer/installer form
3) Complete the yellow cells in the "DEAPEntries" tab
4) Complete the yellow cells in the HP tab
5) Transfer results to DEAP software as per guidance document
6) Calculate adjusted renewable energy ratio for NEW dwellings (see guidance document)
NB Guidance document details cases where this heat pump should and should not be used. </t>
    </r>
  </si>
  <si>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</si>
  <si>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</si>
  <si>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</si>
  <si>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</si>
  <si>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</si>
  <si>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</si>
  <si>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</si>
  <si>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</si>
  <si>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</si>
  <si>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</si>
  <si>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</si>
  <si>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</si>
  <si>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</si>
  <si>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</si>
  <si>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</si>
  <si>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</si>
  <si>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</si>
  <si>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</si>
  <si>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</si>
  <si>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</si>
  <si>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t>
  </si>
  <si>
    <t>As entered</t>
  </si>
  <si>
    <t>DEAPEntries</t>
  </si>
  <si>
    <t>Enter fields as shown in this tab, taken from the DEAP software and design data</t>
  </si>
  <si>
    <t xml:space="preserve">Heat pump calculation results to be used in DEAP 
Adjusted renewable energy ratio. </t>
  </si>
  <si>
    <t>HP 1/2/3</t>
  </si>
  <si>
    <t xml:space="preserve">For each of heat pumps 1, 2, 3. Enter Manufacturer, model, test standard, test data of heat pumps, run hours and design flow temperature of heat pumps. </t>
  </si>
  <si>
    <t>Efficiency of Space Heating Heat Pump, Water Heating Heat Pump, Renewable Contribution. Used in "DEAPEntries" tab above</t>
  </si>
  <si>
    <t>Heating Calc 1/2/3</t>
  </si>
  <si>
    <t>For each of heat pumps 1, 2, 3. None</t>
  </si>
  <si>
    <t>Space Heating calculations for Heat Pump</t>
  </si>
  <si>
    <t>DHW Calc 1/2/3</t>
  </si>
  <si>
    <t>Water Heating calculations for Heat Pump</t>
  </si>
  <si>
    <t>Meteorological Data</t>
  </si>
  <si>
    <t>Bin data for heat pump calculation</t>
  </si>
  <si>
    <t>Space and water standards ID tabs 1/2/3</t>
  </si>
  <si>
    <t xml:space="preserve">For each of heat pumps 1, 2, 3. No user entries, but useful to see which standards apply to which heat pump types. </t>
  </si>
  <si>
    <t>Used by this tool to identify erroneous heat pump types or erroneous standards selections</t>
  </si>
  <si>
    <t>Project</t>
  </si>
  <si>
    <t>Project details</t>
  </si>
  <si>
    <t>Dwelling type</t>
  </si>
  <si>
    <t>Address</t>
  </si>
  <si>
    <t>Eircode</t>
  </si>
  <si>
    <t>MPRN Number</t>
  </si>
  <si>
    <t>Date of assessment</t>
  </si>
  <si>
    <t>Assessor details</t>
  </si>
  <si>
    <t>Name</t>
  </si>
  <si>
    <t>Title</t>
  </si>
  <si>
    <t>Company</t>
  </si>
  <si>
    <t>Phone</t>
  </si>
  <si>
    <t>Email</t>
  </si>
  <si>
    <t>Comments</t>
  </si>
  <si>
    <r>
      <t xml:space="preserve">Inputs from DEAP </t>
    </r>
    <r>
      <rPr>
        <b/>
        <sz val="11"/>
        <color indexed="21"/>
        <rFont val="Symbol"/>
        <family val="1"/>
        <charset val="2"/>
      </rPr>
      <t>¯</t>
    </r>
    <r>
      <rPr>
        <b/>
        <sz val="11"/>
        <color indexed="21"/>
        <rFont val="Calibri"/>
        <family val="2"/>
      </rPr>
      <t xml:space="preserve">
User to populate yellow cells below and in HP 1/2/3 tabs.</t>
    </r>
  </si>
  <si>
    <t>Description:</t>
  </si>
  <si>
    <t>Value:</t>
  </si>
  <si>
    <t>Unit:</t>
  </si>
  <si>
    <t>Guidance Notes:</t>
  </si>
  <si>
    <t>Total heat loss (W/K) taken from DEAP</t>
  </si>
  <si>
    <t>W/K</t>
  </si>
  <si>
    <t>Sourced from DEAP  "results" tab (or DEAP workbook Fab tab). This is the sum of heat losses from fabric + ventilation + windows</t>
  </si>
  <si>
    <t>Annual space heat requirement (total)</t>
  </si>
  <si>
    <t>kWh</t>
  </si>
  <si>
    <t>Sourced from DEAP: View assessment: Gains/losses (or SH tab in DEAP workbook)</t>
  </si>
  <si>
    <t>Main space heating total</t>
  </si>
  <si>
    <t>Floor Area of Dwelling</t>
  </si>
  <si>
    <r>
      <t>m</t>
    </r>
    <r>
      <rPr>
        <vertAlign val="superscript"/>
        <sz val="11"/>
        <rFont val="Calibri"/>
        <family val="2"/>
      </rPr>
      <t>2</t>
    </r>
  </si>
  <si>
    <t>Sourced from DEAP: Building: Floors tab (or Dim tab in DEAP workbook)</t>
  </si>
  <si>
    <t>Living area of dwelling</t>
  </si>
  <si>
    <t>Percentage of space heat from secondary system</t>
  </si>
  <si>
    <t>%</t>
  </si>
  <si>
    <t>Sourced from DEAP: Space heating: heat sources (or ER1/ER2 tab in DEAP workbook)</t>
  </si>
  <si>
    <t>Fraction of heat from CHP</t>
  </si>
  <si>
    <t>0&lt;=fraction &lt;1</t>
  </si>
  <si>
    <t>Output from main water heater</t>
  </si>
  <si>
    <t>Sourced from DEAP: View assessment: Water (or WH tab in DEAP workbook)</t>
  </si>
  <si>
    <t>For Group Heating: Is charging based on heat consumed?</t>
  </si>
  <si>
    <t>No</t>
  </si>
  <si>
    <t>Sourced from DEAP: Space heating: heat sources (or ER2 tab in DEAP workbook)</t>
  </si>
  <si>
    <t>Flat rate charge factor (set to 1 if not group heating)</t>
  </si>
  <si>
    <t>Electricity Primary Energy Factor</t>
  </si>
  <si>
    <t>Sourced from DEAP: View assessment: Results (or Fuel tab in DEAP workbook)</t>
  </si>
  <si>
    <t>Total main heating</t>
  </si>
  <si>
    <t>Volume of DHW Storage</t>
  </si>
  <si>
    <t>litres</t>
  </si>
  <si>
    <t>Sourced from DEAP: Water Heating: options and storage (or WH tab in DEAP workbook)</t>
  </si>
  <si>
    <t>Heat pump # 1</t>
  </si>
  <si>
    <t>Heat pump # 2</t>
  </si>
  <si>
    <t>Heat pump # 3</t>
  </si>
  <si>
    <t>Any</t>
  </si>
  <si>
    <t>Type of space heating heat pump</t>
  </si>
  <si>
    <t>Heat Pump</t>
  </si>
  <si>
    <t>Space Heating served by HP</t>
  </si>
  <si>
    <t>Type of water heating heat pump</t>
  </si>
  <si>
    <t>Hot Water served by HP</t>
  </si>
  <si>
    <t xml:space="preserve">% main space heat provided by each heat pump  based on system design </t>
  </si>
  <si>
    <t>Total main space heating / total main heating</t>
  </si>
  <si>
    <t>Source proportions of space heat from plant design details or operational records</t>
  </si>
  <si>
    <t xml:space="preserve">% main water heat provided by each heat pump  based on system design </t>
  </si>
  <si>
    <t>Total main water heating / total main heating</t>
  </si>
  <si>
    <t>Source proportions of water heat from plant design details or operational records</t>
  </si>
  <si>
    <t>Is heat pump source preconditioned?</t>
  </si>
  <si>
    <t>If heat pump source is preheated by another heat source other than exhaust air or ambient energy  (e.g. a heat pump or boiler etc)</t>
  </si>
  <si>
    <t>Is the Heat Pump part of a Group Heating Scheme</t>
  </si>
  <si>
    <t>Yes</t>
  </si>
  <si>
    <t>Sourced from DEAP: Space heating: Controls and responsiveness tab (or Sh tab in DEAP workbook)</t>
  </si>
  <si>
    <t>Any group heating heat pumps present?</t>
  </si>
  <si>
    <t>If "Exhaust Air Heat Pump(s)" what is the total exhaust Air Flow Rate</t>
  </si>
  <si>
    <r>
      <t>m</t>
    </r>
    <r>
      <rPr>
        <vertAlign val="superscript"/>
        <sz val="11"/>
        <rFont val="Calibri"/>
        <family val="2"/>
      </rPr>
      <t>3</t>
    </r>
    <r>
      <rPr>
        <sz val="11"/>
        <rFont val="Calibri"/>
        <family val="2"/>
      </rPr>
      <t>/h</t>
    </r>
  </si>
  <si>
    <t>Sourced from DEAP:Ventilation tab (or Vent tab in DEAP workbook) and divided between up to three Exhaust Air systems</t>
  </si>
  <si>
    <r>
      <t xml:space="preserve">RESULTS: Outputs for use in DEAP. </t>
    </r>
    <r>
      <rPr>
        <b/>
        <sz val="11"/>
        <color indexed="21"/>
        <rFont val="Symbol"/>
        <family val="1"/>
        <charset val="2"/>
      </rPr>
      <t>¯</t>
    </r>
    <r>
      <rPr>
        <b/>
        <sz val="11"/>
        <color indexed="21"/>
        <rFont val="Calibri"/>
        <family val="2"/>
      </rPr>
      <t xml:space="preserve">
User must manually transfer these to DEAP software. </t>
    </r>
  </si>
  <si>
    <t>Efficiency of space heating heat pump + backup</t>
  </si>
  <si>
    <t>[%]</t>
  </si>
  <si>
    <t>Enter in DEAP: Space heating: heat source as heating system efficiency (or DEAP Workbook ER1/2). For group heating system, always enter under "heating system 1".</t>
  </si>
  <si>
    <t>Space heating fuel type</t>
  </si>
  <si>
    <t>Enter in DEAP: Space heating: heat source as fuel (or DEAP Workbook ER1/2 tab). Gas fired heat pumps treated as natural gas / LPG boilers (with efficiency as derived by this calculation).  For group heating system, always enter under "heating system 1".</t>
  </si>
  <si>
    <t>Efficiency of water heating heat pump + backup</t>
  </si>
  <si>
    <t>Enter in DEAP: Water heating: heat source as heating system efficiency (or DEAP Workbook ER1/2). For group heating system, always enter under "heating system 2".</t>
  </si>
  <si>
    <t>Water heating fuel type</t>
  </si>
  <si>
    <t>Enter in DEAP: Water heating: heat source as fuel (or DEAP Workbook ER1/2 tab). Gas fired heat pumps treated as natural gas / LPG boilers (with efficiency as derived by this calculation).  For group heating system, always enter under "heating system 2".</t>
  </si>
  <si>
    <t>Efficiency adjustment factor for space heating and water heating</t>
  </si>
  <si>
    <t>Always set to one when using this heat pump calculator</t>
  </si>
  <si>
    <t>Group heating % of heat from space heating</t>
  </si>
  <si>
    <t>Enter in DEAP: Space heating: heat source as proportion of heat alongside heat pump space heating efficiency (or DEAP Workbook ER1/2 tab space heating proportion of heat from heat pump).  Total proportion of heat MUST be 100% in DEAP.  For group heating system, always enter under "heating system 1".</t>
  </si>
  <si>
    <t>Group heating % of heat from water heating</t>
  </si>
  <si>
    <t>Enter in DEAP: Space heating: heat source as proportion of heat alongside heat pump water heating efficiency (or DEAP Workbook ER1/2 tab water heating proportion of heat from heat pump).  Total proportion of heat MUST be 100% in DEAP.  For group heating system, always enter under "heating system 2".</t>
  </si>
  <si>
    <t xml:space="preserve">Additional errors and warnings: </t>
  </si>
  <si>
    <t>If this error is shown, the heat pump test temperatures indicate that the proportion of water heating set by the user is too high</t>
  </si>
  <si>
    <t>If this warning is shown, the system designer should review the proportions of heat from the heat pump and selection of heat pump if possible (e.g. maybe larger capacity is needed) to reduce the level of heating met by backup heater</t>
  </si>
  <si>
    <t>As per guidance document, only one heat pump may use test standard I.S. EN 14825/14511 for water heating.</t>
  </si>
  <si>
    <t xml:space="preserve">As per guidance document, use all electric heat pumps or all GAHP. </t>
  </si>
  <si>
    <t>Use heat pump with EN14825/14511 based test data as sole means of meeting main hot water demand prohibited.</t>
  </si>
  <si>
    <t>RESULTS: Part L compliance Renewable Energy Ratio (RER) Adjustment.  Applies to New final and New provisional assessments only.
BER Assessor must advise the client of any adjustment to RER, and attach details of adjusted RER to Part L compliance report. 
This section is completed AFTER the above heat pump calculation results are entered in DEAP software.</t>
  </si>
  <si>
    <t>Total renewable contribution adjustment</t>
  </si>
  <si>
    <t>[kWh]</t>
  </si>
  <si>
    <t>Automatically calculated by heat pump calculation tool. Used to adjust renewable energy ratio results in DEAP software to reflect impact of backup / exhaust air / preheat / group heating</t>
  </si>
  <si>
    <t>Total renewables primary energy from DEAP software</t>
  </si>
  <si>
    <t>Sourced from DEAP: View assessment: Part L (or RER tab in DEAP workbook)</t>
  </si>
  <si>
    <t>Unadjusted RER</t>
  </si>
  <si>
    <t>Total Primary Energy from DEAP software</t>
  </si>
  <si>
    <t>Adjusted renewable primary energy</t>
  </si>
  <si>
    <t>Adjusted Renewable Energy Ratio to be attached to compliance report</t>
  </si>
  <si>
    <t>[kWh/kWh]</t>
  </si>
  <si>
    <t>Advise client of this adjusted RER and attach adjusted RER calculation to Part L compliance report</t>
  </si>
  <si>
    <t>Adjusted total primary energy</t>
  </si>
  <si>
    <t>Results from each of 3 HPs &amp; additional calculations</t>
  </si>
  <si>
    <t>Units</t>
  </si>
  <si>
    <t>Tab</t>
  </si>
  <si>
    <t>Cell (everything to the right of the tab name)</t>
  </si>
  <si>
    <t>Heat pump 1 formula in text</t>
  </si>
  <si>
    <t>Remove bracket</t>
  </si>
  <si>
    <t>HP number</t>
  </si>
  <si>
    <t>Efficiency adjustment factor space heating</t>
  </si>
  <si>
    <t>Efficiency adjustment factor water heating</t>
  </si>
  <si>
    <t>Space heating renewables adjustment</t>
  </si>
  <si>
    <t>Water heating renewables adjustment</t>
  </si>
  <si>
    <t>% space heating provided by heat pump (&lt;100% means backup is needed)</t>
  </si>
  <si>
    <t>% water heating provided by heat pump (&lt;100% means backup is needed)</t>
  </si>
  <si>
    <t>Water heating test standard</t>
  </si>
  <si>
    <t>Maximum allowable % for water heating</t>
  </si>
  <si>
    <t>Error found in HP calculation?</t>
  </si>
  <si>
    <t>Maximum allowable % for water heating error?</t>
  </si>
  <si>
    <t>Backup used for space heating?</t>
  </si>
  <si>
    <t>Backup used for water heating?</t>
  </si>
  <si>
    <t>Is heat pump electric or gas (GAHP) for space heating</t>
  </si>
  <si>
    <t>Is heat pump electric or gas (GAHP) for water heating</t>
  </si>
  <si>
    <t xml:space="preserve">Is there use of both GAHP and Elec? </t>
  </si>
  <si>
    <t>Using only one HP to heat water and uses  14825/14511?</t>
  </si>
  <si>
    <t xml:space="preserve">100% of main water heating by HPs? </t>
  </si>
  <si>
    <t>Assessment of Heat Pump Performance</t>
  </si>
  <si>
    <t xml:space="preserve">Heat Pump # </t>
  </si>
  <si>
    <t>I.S. EN 14825</t>
  </si>
  <si>
    <t>Space heating</t>
  </si>
  <si>
    <t>HP fuel</t>
  </si>
  <si>
    <t>Low temperature heat pump</t>
  </si>
  <si>
    <t>Air to Water</t>
  </si>
  <si>
    <t>Does Ecodesign apply?</t>
  </si>
  <si>
    <t>Heat Emission Type</t>
  </si>
  <si>
    <t>Fuel</t>
  </si>
  <si>
    <t>Fixed Outlet</t>
  </si>
  <si>
    <t>Test temps</t>
  </si>
  <si>
    <t>For HP tab</t>
  </si>
  <si>
    <t>No Hot Water Store</t>
  </si>
  <si>
    <t>3XS</t>
  </si>
  <si>
    <t>ERROR</t>
  </si>
  <si>
    <r>
      <t>Water heating energy efficiency, η</t>
    </r>
    <r>
      <rPr>
        <sz val="10.8"/>
        <rFont val="Calibri"/>
        <family val="2"/>
      </rPr>
      <t>wh</t>
    </r>
  </si>
  <si>
    <t>I.S. EN 12309-6</t>
  </si>
  <si>
    <t>Same Heat Pump providing Space Heating and Domestic Hot Water</t>
  </si>
  <si>
    <t>Electricity</t>
  </si>
  <si>
    <t>Not low temperature heat pump</t>
  </si>
  <si>
    <t>Brine to Water</t>
  </si>
  <si>
    <t>Ecodesign applies and/or ecodesign data available</t>
  </si>
  <si>
    <t>1 or more Radiators present</t>
  </si>
  <si>
    <t>Variable Outlet</t>
  </si>
  <si>
    <t>Low Temperature</t>
  </si>
  <si>
    <t>Integral Hot Water Storage</t>
  </si>
  <si>
    <t>XXS</t>
  </si>
  <si>
    <t>Coefficient of Performance, COP</t>
  </si>
  <si>
    <t>I.S. EN 13141</t>
  </si>
  <si>
    <t>Separate Heat Pump providing Space Heating and Domestic Hot Water</t>
  </si>
  <si>
    <t>Gas fired (GAHP)</t>
  </si>
  <si>
    <t>Water to Water</t>
  </si>
  <si>
    <t>Ecodesign doesn't apply and ecodesign data unavailable</t>
  </si>
  <si>
    <t>Fan Coil Units present (no radiators)</t>
  </si>
  <si>
    <t>Mains Gas</t>
  </si>
  <si>
    <t>Medium Temperature</t>
  </si>
  <si>
    <t>Separate Hot Water Storage</t>
  </si>
  <si>
    <t>XS</t>
  </si>
  <si>
    <t>Heat Loss Watts</t>
  </si>
  <si>
    <t>Watts</t>
  </si>
  <si>
    <t>Required Space Heating Capacity at design conditions.</t>
  </si>
  <si>
    <t>-</t>
  </si>
  <si>
    <t>Exhaust Air to Water</t>
  </si>
  <si>
    <t>Underfloor heating only</t>
  </si>
  <si>
    <t>LPG Gas (bottled or bulk)</t>
  </si>
  <si>
    <t>High Temperature</t>
  </si>
  <si>
    <t>Integral and separate Hot Water Storage</t>
  </si>
  <si>
    <t>S</t>
  </si>
  <si>
    <t>Is this Heat Pump part of a Group Heating Scheme</t>
  </si>
  <si>
    <t>I.S. EN 16147</t>
  </si>
  <si>
    <t>Direct exchange (DX)</t>
  </si>
  <si>
    <t>Air</t>
  </si>
  <si>
    <t>Heating Oil</t>
  </si>
  <si>
    <t>Very high Temperature</t>
  </si>
  <si>
    <t>M</t>
  </si>
  <si>
    <t>Proportion of main space heating provided by this heat pump</t>
  </si>
  <si>
    <t>Air to Air</t>
  </si>
  <si>
    <t>Biodiesel from renewable sources only</t>
  </si>
  <si>
    <t>L</t>
  </si>
  <si>
    <t>m2</t>
  </si>
  <si>
    <t>I.S. EN  13203-6</t>
  </si>
  <si>
    <t>Brine to Air</t>
  </si>
  <si>
    <t>Bioethanol from renewable sources only</t>
  </si>
  <si>
    <t>XL</t>
  </si>
  <si>
    <t>If Heat Pump serves a Group Heat Scheme, the total Floor Area served by Heat Pump is:</t>
  </si>
  <si>
    <t>Sourced from development design details</t>
  </si>
  <si>
    <t>I.S. EN 14825/14511</t>
  </si>
  <si>
    <t>Water to Air</t>
  </si>
  <si>
    <t>House coal/ Anthracite</t>
  </si>
  <si>
    <t>XXL</t>
  </si>
  <si>
    <t>Code for Space Heating/ DHW</t>
  </si>
  <si>
    <t>Exhaust Air to Air</t>
  </si>
  <si>
    <t>Manufactured smokeless fuel</t>
  </si>
  <si>
    <t>3XL</t>
  </si>
  <si>
    <t>Manufacturer of the installed heat pump(s)</t>
  </si>
  <si>
    <t xml:space="preserve">Is this a Low Temperature Heat Pump? </t>
  </si>
  <si>
    <t>Peat</t>
  </si>
  <si>
    <t>4XL</t>
  </si>
  <si>
    <t>Model of the installed heat pump(s)</t>
  </si>
  <si>
    <t xml:space="preserve">Is this heat pump electric or gas (GAHP)? </t>
  </si>
  <si>
    <t>Wood logs/pellets/chips</t>
  </si>
  <si>
    <t>Type of heat pump</t>
  </si>
  <si>
    <t>What is the status of this heat pump regarding Ecodesign data?</t>
  </si>
  <si>
    <t>Same HP for Space and Water Heating</t>
  </si>
  <si>
    <t>Solid multi-fuel</t>
  </si>
  <si>
    <t>Temperature Control 
(refered to as Capacity Control in Ecodesign Standard Template)</t>
  </si>
  <si>
    <t>Source from Ecodesign Data</t>
  </si>
  <si>
    <t>Diagnostics data in grey cells below showing summary of selections (these will be #NA if invalid options were selected in this section):</t>
  </si>
  <si>
    <t>Space Heating Test Standard</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</si>
  <si>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</si>
  <si>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</si>
  <si>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</si>
  <si>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</si>
  <si>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</si>
  <si>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</si>
  <si>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</si>
  <si>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</si>
  <si>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</si>
  <si>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r>
      <t xml:space="preserve">Heat emission type served by heat pump within the dwelling: </t>
    </r>
    <r>
      <rPr>
        <b/>
        <sz val="12"/>
        <rFont val="Symbol"/>
        <family val="1"/>
        <charset val="2"/>
      </rPr>
      <t>¯</t>
    </r>
  </si>
  <si>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</si>
  <si>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</si>
  <si>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</si>
  <si>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</si>
  <si>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</si>
  <si>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</si>
  <si>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</si>
  <si>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</si>
  <si>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</si>
  <si>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</si>
  <si>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</si>
  <si>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</si>
  <si>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</si>
  <si>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</si>
  <si>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hrs</t>
  </si>
  <si>
    <t>Source from Designer/ Installer sign off sheet, default is DEAP heating schedule which is 8 hrs a day</t>
  </si>
  <si>
    <t>Cut-out hours</t>
  </si>
  <si>
    <t>Heat pump fuel primary energy factor</t>
  </si>
  <si>
    <t>Depends on whether electric or GAHP</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</si>
  <si>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</si>
  <si>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</si>
  <si>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</si>
  <si>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</si>
  <si>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</si>
  <si>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</si>
  <si>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Adjusted Efficiency of Back up Space Heater relative to fuel used for heat pump</t>
  </si>
  <si>
    <t>To air?</t>
  </si>
  <si>
    <t>Low temp?</t>
  </si>
  <si>
    <t>Expected selection for each application</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</si>
  <si>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</si>
  <si>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</si>
  <si>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</si>
  <si>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</si>
  <si>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</si>
  <si>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t>Source</t>
  </si>
  <si>
    <t>Sink</t>
  </si>
  <si>
    <t>Heating Capacity (kW)</t>
  </si>
  <si>
    <t>Coefficient of Performance (kW/kW)</t>
  </si>
  <si>
    <t>manufactured smokeless fuel</t>
  </si>
  <si>
    <t>Heat pump fuel primary energy factor (DHW)</t>
  </si>
  <si>
    <t>Describe the water heating heat pump arrangement</t>
  </si>
  <si>
    <t>Source from Designer/ Installer sign off sheet or site evidence without Ecodesign</t>
  </si>
  <si>
    <t>Max share of hot water by this HP system</t>
  </si>
  <si>
    <t>Operational temp min this HP</t>
  </si>
  <si>
    <t>Water Heating Test Standard</t>
  </si>
  <si>
    <t>Output from Main Water Heater</t>
  </si>
  <si>
    <t>kWh/yr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</si>
  <si>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</si>
  <si>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</si>
  <si>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</si>
  <si>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</si>
  <si>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</si>
  <si>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</si>
  <si>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</si>
  <si>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Is there a water heater installed as back up for the heat pump</t>
  </si>
  <si>
    <t>Back Up Water Heater Fuel</t>
  </si>
  <si>
    <t>Primary Energy Factor for Back Up Water Heater</t>
  </si>
  <si>
    <t>Efficiency of Back up Water Heater</t>
  </si>
  <si>
    <t>Adjusted Efficiency of Back up Water Heater relative to fuel used by heat pump</t>
  </si>
  <si>
    <t>Ecodesign based water heating tests to 
EN16147  (or EN13203-6 for GAHP)*</t>
  </si>
  <si>
    <t>Source of data</t>
  </si>
  <si>
    <t>Water heating energy efficiency, ηwh</t>
  </si>
  <si>
    <t>Source from Ecodesign Data or accredited tests to EN 16147  (or EN13203-6 for GAHP)</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</si>
  <si>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</si>
  <si>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</si>
  <si>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</si>
  <si>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  (or EN13203-6 for GAHP)</t>
    </r>
  </si>
  <si>
    <t>Required Source Temperature</t>
  </si>
  <si>
    <t>Based on Table 5 of EN 16147  (or EN13203-6 for GAHP)</t>
  </si>
  <si>
    <t>Capacity of Heat Pump</t>
  </si>
  <si>
    <t>kW</t>
  </si>
  <si>
    <t>Source from Ecodesign Data, manufacturers data or accredited tests to EN 16147  (or EN13203-6 for GAHP)</t>
  </si>
  <si>
    <t>Declared Load Profile</t>
  </si>
  <si>
    <t>Standby Heat Loss</t>
  </si>
  <si>
    <t>kWh/day</t>
  </si>
  <si>
    <t>Source from Ecodesign Data or accredited tests to EN 16147  (or EN13203-6 for GAHP), set as 0 if unknown</t>
  </si>
  <si>
    <t>Volume of DHW accounted for in test</t>
  </si>
  <si>
    <t>litre</t>
  </si>
  <si>
    <t>*May include I.S. EN 14825 / 14511 test data as detailed in guidace document</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</si>
  <si>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</si>
  <si>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</si>
  <si>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</si>
  <si>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</si>
  <si>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</si>
  <si>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</si>
  <si>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</si>
  <si>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</si>
  <si>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</si>
  <si>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</si>
  <si>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</si>
  <si>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</si>
  <si>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</si>
  <si>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Results: See DEAP Entries tab for detail on results for use in DEAP</t>
  </si>
  <si>
    <t>Results</t>
  </si>
  <si>
    <t>Efficiency of Main Heating System</t>
  </si>
  <si>
    <t>Efficiency Adjustment Factor - Main Heating</t>
  </si>
  <si>
    <t>Efficiency of Main Hot Water System</t>
  </si>
  <si>
    <t>Efficiency Adjustment Factor - Main Hot Water</t>
  </si>
  <si>
    <t>% Renewable Contribution from Exhaust Heat Pump for Space Heating</t>
  </si>
  <si>
    <t>Only relevant for EAHP</t>
  </si>
  <si>
    <t>Exhaust Air Flow Rate (m3/hr)</t>
  </si>
  <si>
    <t>% Renewable Contribution from Exhaust Heat Pump for Water Heating</t>
  </si>
  <si>
    <t xml:space="preserve">Is source preheated? </t>
  </si>
  <si>
    <t>% of space heating Provided by Heat Pump</t>
  </si>
  <si>
    <t>Space Heating Provided by Heat Pump (not incl backup)</t>
  </si>
  <si>
    <t>Efficiency of Space Heat Pump (not incl backup)</t>
  </si>
  <si>
    <t>% of Hot Water Provided by Heat Pump</t>
  </si>
  <si>
    <t>Water Heating Provided by Heat Pump</t>
  </si>
  <si>
    <t>Efficiency of Water Heat Pump (not incl backup)</t>
  </si>
  <si>
    <t>Calculated environmental energy in this dwelling</t>
  </si>
  <si>
    <r>
      <t xml:space="preserve">Heat pump standalone without backup </t>
    </r>
    <r>
      <rPr>
        <u/>
        <sz val="12"/>
        <rFont val="Calibri"/>
        <family val="2"/>
      </rPr>
      <t>(not accounting for Exhaust adjustment)</t>
    </r>
  </si>
  <si>
    <t>Heat Pump Efficiency</t>
  </si>
  <si>
    <t>Heat Use</t>
  </si>
  <si>
    <t>Fuel usage (elec or gas)</t>
  </si>
  <si>
    <t>Environmental</t>
  </si>
  <si>
    <t>check 0 for 
14825/ 16147/ 
12309-6/ 13206-3 / 13141</t>
  </si>
  <si>
    <t>Water heating</t>
  </si>
  <si>
    <r>
      <t xml:space="preserve">Heat pump with backup </t>
    </r>
    <r>
      <rPr>
        <u/>
        <sz val="12"/>
        <rFont val="Calibri"/>
        <family val="2"/>
      </rPr>
      <t>(not accounting for Exhaust adjustment)</t>
    </r>
  </si>
  <si>
    <t>check 0 for 
[14825/14511] /16147/ 
12309-6/ 13206-3</t>
  </si>
  <si>
    <t>Additional renewable contribution when discounting backup</t>
  </si>
  <si>
    <t>Adjustment due to backup</t>
  </si>
  <si>
    <t>Adjustment due to exhaust air</t>
  </si>
  <si>
    <t>Adjustment for group water heating</t>
  </si>
  <si>
    <t>Adjustment due to preconditioned heat source</t>
  </si>
  <si>
    <t>Adjustment to renewable part L contribution</t>
  </si>
  <si>
    <t>Renewables shown in DEAP</t>
  </si>
  <si>
    <t>Correct renewable contribution</t>
  </si>
  <si>
    <t>Check 0</t>
  </si>
  <si>
    <t>DEAP Entries Captured Data</t>
  </si>
  <si>
    <t>THIS HEAT PUMP</t>
  </si>
  <si>
    <t>Heatpump replication autoselect</t>
  </si>
  <si>
    <t>Heat pump #1</t>
  </si>
  <si>
    <t>Heat pump #2</t>
  </si>
  <si>
    <t>Heat pump #3</t>
  </si>
  <si>
    <t>Heating calc</t>
  </si>
  <si>
    <t>This HP</t>
  </si>
  <si>
    <t>Heat pump 1 source cell name as text</t>
  </si>
  <si>
    <t>Hot water</t>
  </si>
  <si>
    <t>Test error text</t>
  </si>
  <si>
    <t>Dwelling error text</t>
  </si>
  <si>
    <t>Space standards ID</t>
  </si>
  <si>
    <t>Valid space heat pump type selected text</t>
  </si>
  <si>
    <t>Heat pump type:</t>
  </si>
  <si>
    <t>Electric or GAHP:</t>
  </si>
  <si>
    <t>Low temp:</t>
  </si>
  <si>
    <t>Ecodesign based stds:</t>
  </si>
  <si>
    <t>Valid standard chosen?</t>
  </si>
  <si>
    <t>Water standards ID</t>
  </si>
  <si>
    <t>EN 15316 methodology</t>
  </si>
  <si>
    <t>Bin 1</t>
  </si>
  <si>
    <t>Bin 2</t>
  </si>
  <si>
    <t>Bin 3</t>
  </si>
  <si>
    <t>Bin 4</t>
  </si>
  <si>
    <t>Bin 5</t>
  </si>
  <si>
    <t>Total</t>
  </si>
  <si>
    <t>Guidance Note</t>
  </si>
  <si>
    <t>Back Up Heating</t>
  </si>
  <si>
    <t>Bin Data</t>
  </si>
  <si>
    <t>I.S. EN 14825 Test Conditions 
(or EN12309-6 for GAHP or EN13141 is some cases)</t>
  </si>
  <si>
    <t>(E) 100%</t>
  </si>
  <si>
    <t>(A) 88%</t>
  </si>
  <si>
    <t>(B) 54%</t>
  </si>
  <si>
    <t>(c) 35%</t>
  </si>
  <si>
    <t>(D)15%</t>
  </si>
  <si>
    <t>Operating Points (Bin Temperatures)</t>
  </si>
  <si>
    <t>Test Points</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</si>
  <si>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</si>
  <si>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</si>
  <si>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</si>
  <si>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</si>
  <si>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</si>
  <si>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</si>
  <si>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</si>
  <si>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</si>
  <si>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</si>
  <si>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oC…as per SAP</t>
  </si>
  <si>
    <t>Heating Capacity kW…As per 7.5.1 and MCS Tool* (see below)</t>
  </si>
  <si>
    <t>Required Running Hours (hr) Section 6.6.3</t>
  </si>
  <si>
    <t>Diff between Required Running Hrs and Effective Bin..Section 6.6.3</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</si>
  <si>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</si>
  <si>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</si>
  <si>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</si>
  <si>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</si>
  <si>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</si>
  <si>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</si>
  <si>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See 7.3.1 and Table 15</t>
  </si>
  <si>
    <t>Plant Size Ratio</t>
  </si>
  <si>
    <r>
      <t>Upper Limit, (</t>
    </r>
    <r>
      <rPr>
        <vertAlign val="superscript"/>
        <sz val="10"/>
        <rFont val="Arial"/>
        <family val="2"/>
      </rPr>
      <t>o</t>
    </r>
    <r>
      <rPr>
        <sz val="10"/>
        <rFont val="Arial"/>
        <family val="2"/>
      </rPr>
      <t>C )</t>
    </r>
  </si>
  <si>
    <t>For Bin 5, the Upper Limit is the Upper Outdoor Temperature.  See 7.3.1 and Table 15</t>
  </si>
  <si>
    <r>
      <t>Source Temperature (</t>
    </r>
    <r>
      <rPr>
        <vertAlign val="superscript"/>
        <sz val="10"/>
        <rFont val="Arial"/>
        <family val="2"/>
      </rPr>
      <t>o</t>
    </r>
    <r>
      <rPr>
        <sz val="10"/>
        <rFont val="Arial"/>
        <family val="2"/>
      </rPr>
      <t>C)</t>
    </r>
  </si>
  <si>
    <t>Depends on heat pump type</t>
  </si>
  <si>
    <t>Weighting Factor SH</t>
  </si>
  <si>
    <t>EN 15316-4-2 Eqt 55</t>
  </si>
  <si>
    <t>Space Heating Energy (kWh)</t>
  </si>
  <si>
    <t>Eqt 56</t>
  </si>
  <si>
    <t>Eqt 57</t>
  </si>
  <si>
    <t>Eqt 58</t>
  </si>
  <si>
    <t>Weighting Factor DHW</t>
  </si>
  <si>
    <t>Eqt 59</t>
  </si>
  <si>
    <t>DHW Energy (kWh)</t>
  </si>
  <si>
    <t>Eqt 60</t>
  </si>
  <si>
    <t>Test Data</t>
  </si>
  <si>
    <t>This is irrelevant for low temp heat pumps but required otherwise</t>
  </si>
  <si>
    <t>Taken from Input Sheet COP</t>
  </si>
  <si>
    <t>Taken from Input Sheet Capacity</t>
  </si>
  <si>
    <t>Bin -&gt;</t>
  </si>
  <si>
    <t>E</t>
  </si>
  <si>
    <t>A</t>
  </si>
  <si>
    <t>B</t>
  </si>
  <si>
    <t>C</t>
  </si>
  <si>
    <t>D</t>
  </si>
  <si>
    <t>Appropriate Test Data</t>
  </si>
  <si>
    <t>Lower Test Points</t>
  </si>
  <si>
    <t>Higher Test Points</t>
  </si>
  <si>
    <t>To Air Heat Pump</t>
  </si>
  <si>
    <r>
      <t>Lower Test Points - sink temperature (</t>
    </r>
    <r>
      <rPr>
        <vertAlign val="superscript"/>
        <sz val="10"/>
        <rFont val="Arial"/>
        <family val="2"/>
      </rPr>
      <t>o</t>
    </r>
    <r>
      <rPr>
        <sz val="10"/>
        <rFont val="Arial"/>
        <family val="2"/>
      </rPr>
      <t>C)</t>
    </r>
  </si>
  <si>
    <r>
      <t>Higher Test Points - sink temperature (</t>
    </r>
    <r>
      <rPr>
        <vertAlign val="superscript"/>
        <sz val="10"/>
        <rFont val="Arial"/>
        <family val="2"/>
      </rPr>
      <t>o</t>
    </r>
    <r>
      <rPr>
        <sz val="10"/>
        <rFont val="Arial"/>
        <family val="2"/>
      </rPr>
      <t>C )</t>
    </r>
  </si>
  <si>
    <t>Lower Test Points - COP (kWh/kWh)</t>
  </si>
  <si>
    <t>Higher Test Points - COP (kWh/kWh)</t>
  </si>
  <si>
    <t xml:space="preserve">Supply flow temp in "single test point" case = </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</si>
  <si>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</si>
  <si>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</si>
  <si>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</si>
  <si>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</si>
  <si>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r>
      <t>As per SAP approach - Based on 55</t>
    </r>
    <r>
      <rPr>
        <vertAlign val="superscript"/>
        <sz val="10"/>
        <rFont val="Arial"/>
        <family val="2"/>
      </rPr>
      <t>o</t>
    </r>
    <r>
      <rPr>
        <sz val="10"/>
        <rFont val="Arial"/>
        <family val="2"/>
      </rPr>
      <t>C only (or 35</t>
    </r>
    <r>
      <rPr>
        <vertAlign val="superscript"/>
        <sz val="10"/>
        <rFont val="Arial"/>
        <family val="2"/>
      </rPr>
      <t>o</t>
    </r>
    <r>
      <rPr>
        <sz val="10"/>
        <rFont val="Arial"/>
        <family val="2"/>
      </rPr>
      <t>C for low temperature heat pumps)</t>
    </r>
  </si>
  <si>
    <t>Source Temperature</t>
  </si>
  <si>
    <t>Section F2.1 (2008 version of 15316-4-2, not provided in 15316-4-2:2017 or associated standards)</t>
  </si>
  <si>
    <t>Source temp depends on source being air, water, brine, exhaust air, DX</t>
  </si>
  <si>
    <t>Supply Flow Temperature</t>
  </si>
  <si>
    <t>As per SAP approach in 2016 and 2012</t>
  </si>
  <si>
    <t>Heating Capacity for Source Temp</t>
  </si>
  <si>
    <t xml:space="preserve">Section 7.5.1 </t>
  </si>
  <si>
    <t>Not applicable, for water and exhaust heat pumps the source temperature is constant, for air heat pumps we have test data at various conditions and for brine/DX heat pumps as we don't have different source temperatures it is not possible to carry out interpolation.</t>
  </si>
  <si>
    <t>Heating Capacity for Supply Temp</t>
  </si>
  <si>
    <t>Linear Interpolation (Section 7.5.1)</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</si>
  <si>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</si>
  <si>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</si>
  <si>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</si>
  <si>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 Similar approach for GAHP using standard rating conditions from EN12309. Updated 1st half 2019 as identified in consultation document</t>
  </si>
  <si>
    <t>DeltaT</t>
  </si>
  <si>
    <t>Tout</t>
  </si>
  <si>
    <t>Mass Flow Rate</t>
  </si>
  <si>
    <t>kg/s, Equation D.7</t>
  </si>
  <si>
    <t>DeltaT is based on EN14511 for electrically driven heat pumps and EN12309 for GAHP, 4.182 kJ/kg/K is the specific heat capacity of water. Also accounts for "to air" systems as  (5 x 4.182 degree delta T ≈ 1.2*(35-RoomTemp))</t>
  </si>
  <si>
    <t>Temp Spread at Lower Temp</t>
  </si>
  <si>
    <r>
      <rPr>
        <vertAlign val="superscript"/>
        <sz val="10"/>
        <rFont val="Arial"/>
        <family val="2"/>
      </rPr>
      <t>o</t>
    </r>
    <r>
      <rPr>
        <sz val="10"/>
        <rFont val="Arial"/>
        <family val="2"/>
      </rPr>
      <t>C, Equation D.7</t>
    </r>
  </si>
  <si>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</si>
  <si>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</si>
  <si>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</si>
  <si>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</si>
  <si>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</si>
  <si>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</si>
  <si>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</si>
  <si>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</si>
  <si>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</si>
  <si>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</si>
  <si>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D.8</t>
  </si>
  <si>
    <t>As per consultation 1st half 2019: The constant values for ΔTsk and ΔTsc 5 (annotated as ϑHP;gen;cond;int(t) and ϑHP;gen;evap;int(t) in the 2017 version of the EN15316-4-2 standard) have increased from 4K to 5K.</t>
  </si>
  <si>
    <t>Correction Factor COP Higher Temp Test Points</t>
  </si>
  <si>
    <t xml:space="preserve">As per consultation 1st half 2019: The constant values for ΔTsk and ΔTsc 5 (annotated as ϑHP;gen;cond;int(t) and ϑHP;gen;evap;int(t) in the 2017 version of the EN15316-4-2 standard) have increased from 4K to 5K. </t>
  </si>
  <si>
    <t>COP corrected for Lower Temp</t>
  </si>
  <si>
    <t>COP corrected for Higher Temp</t>
  </si>
  <si>
    <t>Interpolation of COP</t>
  </si>
  <si>
    <t>Linear Interpolation refer to Eqt D4
Single Point</t>
  </si>
  <si>
    <r>
      <t>For Single set of test points, the COP is based on adjustment in Annex D &amp; eqt D.4 and is based on Supply Temp of 55oC (or 35</t>
    </r>
    <r>
      <rPr>
        <vertAlign val="superscript"/>
        <sz val="10"/>
        <rFont val="Arial"/>
        <family val="2"/>
      </rPr>
      <t>o</t>
    </r>
    <r>
      <rPr>
        <sz val="10"/>
        <rFont val="Arial"/>
        <family val="2"/>
      </rPr>
      <t>C for low temperature heat pumps), to meet the mandatory test results for Ecodesign. As outlined in Annex D, accuracy deteriorates with increasing distance from test points therefore methodology not used for Fixed Outlet. Updated 1st half 2019 to fix case where Avoiding negative COPs in interpolation formula....as identified in public consultation document</t>
    </r>
  </si>
  <si>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</si>
  <si>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</si>
  <si>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</si>
  <si>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</si>
  <si>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</si>
  <si>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This has been converted to equivalent energy in the same fuel as the heat pump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</si>
  <si>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</si>
  <si>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</si>
  <si>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</si>
  <si>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Delivered fuel  (gas or elec) for Space Heating from heat pump</t>
  </si>
  <si>
    <t>Total Delivered Energy Required (this will be gas or elec)</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</si>
  <si>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</si>
  <si>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</si>
  <si>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</si>
  <si>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</si>
  <si>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</si>
  <si>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</si>
  <si>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</si>
  <si>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</si>
  <si>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 renewables</t>
  </si>
  <si>
    <t>HP tab</t>
  </si>
  <si>
    <t>placeholder</t>
  </si>
  <si>
    <t>HP identifier:</t>
  </si>
  <si>
    <t>Bin</t>
  </si>
  <si>
    <t>COP and heating capacity</t>
  </si>
  <si>
    <t>From Ecodesign / 814</t>
  </si>
  <si>
    <t>EN 16147 (or EN13203-6 for GAHP, or 14825 in limited pre-heat cases)</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</si>
  <si>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</si>
  <si>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</si>
  <si>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</si>
  <si>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</si>
  <si>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</si>
  <si>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</si>
  <si>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</si>
  <si>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</si>
  <si>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</si>
  <si>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</si>
  <si>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</si>
  <si>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</si>
  <si>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</si>
  <si>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Efficiency for DEAP</t>
  </si>
  <si>
    <t>based on equation from SAP 2009 &amp; 2012 - Calculation Methodology for electrically driven heat pumps, converting 15316-4-2 SPF to SAP SPF</t>
  </si>
  <si>
    <t>Reference Temperature</t>
  </si>
  <si>
    <r>
      <rPr>
        <vertAlign val="superscript"/>
        <sz val="10"/>
        <rFont val="Arial"/>
        <family val="2"/>
      </rPr>
      <t>o</t>
    </r>
    <r>
      <rPr>
        <sz val="10"/>
        <rFont val="Arial"/>
        <family val="2"/>
      </rPr>
      <t>C</t>
    </r>
  </si>
  <si>
    <t>Temperature of DHW</t>
  </si>
  <si>
    <t>Temperature of Cold Water Inlet</t>
  </si>
  <si>
    <t>WARNING: As the test storage Volume does not meet requirements in Ecodesign Directive, the assessor must contact the manufacturer to advise that test volume is not appropriate for the declared load profile and request revised test results.</t>
  </si>
  <si>
    <t>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</si>
  <si>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</si>
  <si>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DHW Demand for Dwelling</t>
  </si>
  <si>
    <t>Required Running Hours</t>
  </si>
  <si>
    <t>Effective Bin Time</t>
  </si>
  <si>
    <t>based on eqt 58 from EN 15316</t>
  </si>
  <si>
    <t>Difference between Req and Effective</t>
  </si>
  <si>
    <t>Fraction of Demand met by backup to meet operation hours shortfall</t>
  </si>
  <si>
    <t>Heat Pump Electricity/gas</t>
  </si>
  <si>
    <t>Back Up Heater due to temperature shortfall</t>
  </si>
  <si>
    <t>Efficiency of Back up Water Heater adjusted relative to fuel type of Heatpump</t>
  </si>
  <si>
    <t>Back Up Heater due to operation shortfall</t>
  </si>
  <si>
    <t>Total Fuel Required for Water Heating</t>
  </si>
  <si>
    <t>SPF</t>
  </si>
  <si>
    <t>Hot Water Provided by Heat Pump</t>
  </si>
  <si>
    <t>EN 255-3</t>
  </si>
  <si>
    <t>COP based on EN 255</t>
  </si>
  <si>
    <t>Fraction of Backup energy due to temperature shortfall</t>
  </si>
  <si>
    <t>based on eqt 18 from EN 15316</t>
  </si>
  <si>
    <t>Electricity required by Heat Pump</t>
  </si>
  <si>
    <t>Electricity required by Back Up Heater</t>
  </si>
  <si>
    <t>Total Electricity Required for Water Heating</t>
  </si>
  <si>
    <t>SPF - Heat Pump Only</t>
  </si>
  <si>
    <t>EN 14511</t>
  </si>
  <si>
    <t>COP based on EN 14511</t>
  </si>
  <si>
    <t>Efficiency Adjustment Factor</t>
  </si>
  <si>
    <t xml:space="preserve">  </t>
  </si>
  <si>
    <t>Space heating HP type</t>
  </si>
  <si>
    <t>Space heating valid options (where blank, that standard is not applicable to selected heat pump)</t>
  </si>
  <si>
    <t>Space heating valid standards</t>
  </si>
  <si>
    <t>Selector</t>
  </si>
  <si>
    <t>Electric / Gas(GAHP)</t>
  </si>
  <si>
    <t>Low temperature</t>
  </si>
  <si>
    <t xml:space="preserve">Ecodesign applicable? </t>
  </si>
  <si>
    <t>I.S. EN 14511</t>
  </si>
  <si>
    <t xml:space="preserve">&lt;-Applicable values -&gt; </t>
  </si>
  <si>
    <t>Valid space heat pump type selected.</t>
  </si>
  <si>
    <t>Water heat pump type</t>
  </si>
  <si>
    <t>Water heating valid options (where blank, that standard is not applicable to selected heat pump)</t>
  </si>
  <si>
    <t>Water heating valid standards</t>
  </si>
  <si>
    <t>I.S. EN 255-3</t>
  </si>
  <si>
    <t>Valid water heat pump type selected.</t>
  </si>
  <si>
    <t>Error for water heating using low temp HP?</t>
  </si>
  <si>
    <t>Design Temperature</t>
  </si>
  <si>
    <t>DHW Energy kWh</t>
  </si>
  <si>
    <t>Taken as 16 based on EN14825/EN12309-6</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</si>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</sst>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00"/>
    <numFmt numFmtId="166" formatCode="0.00000"/>
    <numFmt numFmtId="167" formatCode="0.0%"/>
    <numFmt numFmtId="168" formatCode="0.0000000000"/>
    <numFmt numFmtId="169" formatCode="0.000%"/>
    <numFmt numFmtId="170" formatCode="_-* #,##0.0_-;\-* #,##0.0_-;_-* &quot;-&quot;??_-;_-@_-"/>
    <numFmt numFmtId="171" formatCode="0.0000"/>
    <numFmt numFmtId="172" formatCode="_-* #,##0.000_-;\-* #,##0.000_-;_-* &quot;-&quot;??_-;_-@_-"/>
    <numFmt numFmtId="173" formatCode="_-* #,##0_-;\-* #,##0_-;_-* &quot;-&quot;??_-;_-@_-"/>
  </numFmts>
  <fonts count="102">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b/>
      <sz val="10"/>
      <name val="Arial"/>
      <family val="2"/>
    </font>
    <font>
      <b/>
      <i/>
      <sz val="10"/>
      <name val="Arial"/>
      <family val="2"/>
    </font>
    <font>
      <sz val="8"/>
      <name val="Arial"/>
      <family val="2"/>
    </font>
    <font>
      <b/>
      <sz val="14"/>
      <color indexed="21"/>
      <name val="Myriad Pro"/>
      <family val="2"/>
    </font>
    <font>
      <vertAlign val="superscript"/>
      <sz val="10"/>
      <name val="Arial"/>
      <family val="2"/>
    </font>
    <font>
      <b/>
      <u/>
      <sz val="10"/>
      <name val="Myriad Pro"/>
      <family val="2"/>
    </font>
    <font>
      <sz val="10"/>
      <name val="Myriad Pro"/>
      <family val="2"/>
    </font>
    <font>
      <sz val="9"/>
      <name val="Arial"/>
      <family val="2"/>
    </font>
    <font>
      <b/>
      <sz val="12"/>
      <name val="Myriad Pro"/>
      <family val="2"/>
    </font>
    <font>
      <u/>
      <sz val="10"/>
      <name val="Myriad Pro"/>
      <family val="2"/>
    </font>
    <font>
      <sz val="10"/>
      <color theme="4" tint="-0.249977111117893"/>
      <name val="Arial"/>
      <family val="2"/>
    </font>
    <font>
      <b/>
      <sz val="12"/>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name val="Arial"/>
      <family val="2"/>
    </font>
    <font>
      <sz val="12"/>
      <name val="Calibri"/>
      <family val="2"/>
    </font>
    <font>
      <sz val="12"/>
      <color indexed="8"/>
      <name val="Calibri"/>
      <family val="2"/>
    </font>
    <font>
      <b/>
      <sz val="12"/>
      <name val="Calibri"/>
      <family val="2"/>
    </font>
    <font>
      <b/>
      <sz val="12"/>
      <color indexed="8"/>
      <name val="Calibri"/>
      <family val="2"/>
    </font>
    <font>
      <sz val="12"/>
      <color indexed="10"/>
      <name val="Calibri"/>
      <family val="2"/>
    </font>
    <font>
      <vertAlign val="superscript"/>
      <sz val="12"/>
      <name val="Calibri"/>
      <family val="2"/>
    </font>
    <font>
      <b/>
      <sz val="12"/>
      <color indexed="10"/>
      <name val="Calibri"/>
      <family val="2"/>
    </font>
    <font>
      <b/>
      <vertAlign val="superscript"/>
      <sz val="12"/>
      <color indexed="8"/>
      <name val="Calibri"/>
      <family val="2"/>
    </font>
    <font>
      <sz val="11"/>
      <color indexed="8"/>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theme="4" tint="-0.249977111117893"/>
      <name val="Myriad Pro"/>
      <family val="2"/>
    </font>
    <font>
      <sz val="10"/>
      <color theme="0"/>
      <name val="Arial"/>
      <family val="2"/>
    </font>
    <font>
      <b/>
      <sz val="14"/>
      <color indexed="56"/>
      <name val="Calibri"/>
      <family val="2"/>
    </font>
    <font>
      <b/>
      <sz val="16"/>
      <color theme="4" tint="-0.249977111117893"/>
      <name val="Myriad Pro"/>
      <family val="2"/>
    </font>
    <font>
      <sz val="8"/>
      <name val="Calibri"/>
      <family val="2"/>
    </font>
    <font>
      <b/>
      <sz val="11"/>
      <color rgb="FFFF0000"/>
      <name val="Calibri"/>
      <family val="2"/>
    </font>
    <font>
      <b/>
      <u/>
      <sz val="10"/>
      <color theme="4" tint="-0.249977111117893"/>
      <name val="Arial"/>
      <family val="2"/>
    </font>
    <font>
      <sz val="12"/>
      <color theme="0" tint="-0.14999847407452621"/>
      <name val="Calibri"/>
      <family val="2"/>
    </font>
    <font>
      <sz val="12"/>
      <name val="Calibri"/>
      <family val="2"/>
      <scheme val="minor"/>
    </font>
    <font>
      <b/>
      <sz val="18"/>
      <color indexed="8"/>
      <name val="Calibri"/>
      <family val="2"/>
    </font>
    <font>
      <b/>
      <sz val="12"/>
      <name val="Symbol"/>
      <family val="1"/>
      <charset val="2"/>
    </font>
    <font>
      <b/>
      <sz val="11"/>
      <color rgb="FFFF0000"/>
      <name val="Myriad Pro"/>
      <family val="2"/>
    </font>
    <font>
      <sz val="10"/>
      <color theme="0" tint="-0.14999847407452621"/>
      <name val="Calibri"/>
      <family val="2"/>
    </font>
    <font>
      <sz val="11"/>
      <name val="Calibri"/>
      <family val="2"/>
    </font>
    <font>
      <sz val="9"/>
      <color theme="0" tint="-0.249977111117893"/>
      <name val="Calibri"/>
      <family val="2"/>
    </font>
    <font>
      <sz val="10"/>
      <color theme="0" tint="-0.249977111117893"/>
      <name val="Arial"/>
      <family val="2"/>
    </font>
    <font>
      <sz val="10"/>
      <name val="Calibri"/>
      <family val="2"/>
    </font>
    <font>
      <sz val="10"/>
      <color rgb="FFFF0000"/>
      <name val="Calibri"/>
      <family val="2"/>
    </font>
    <font>
      <b/>
      <sz val="10"/>
      <name val="Calibri"/>
      <family val="2"/>
    </font>
    <font>
      <b/>
      <sz val="11"/>
      <color indexed="21"/>
      <name val="Calibri"/>
      <family val="2"/>
    </font>
    <font>
      <b/>
      <sz val="11"/>
      <color indexed="56"/>
      <name val="Calibri"/>
      <family val="2"/>
    </font>
    <font>
      <vertAlign val="superscript"/>
      <sz val="11"/>
      <name val="Calibri"/>
      <family val="2"/>
    </font>
    <font>
      <sz val="11"/>
      <color rgb="FFFF0000"/>
      <name val="Calibri"/>
      <family val="2"/>
    </font>
    <font>
      <sz val="11"/>
      <name val="Arial"/>
      <family val="2"/>
    </font>
    <font>
      <b/>
      <sz val="14"/>
      <name val="Calibri"/>
      <family val="2"/>
    </font>
    <font>
      <sz val="12"/>
      <color theme="0" tint="-0.249977111117893"/>
      <name val="Calibri"/>
      <family val="2"/>
    </font>
    <font>
      <sz val="10"/>
      <color theme="0" tint="-0.249977111117893"/>
      <name val="Calibri"/>
      <family val="2"/>
    </font>
    <font>
      <b/>
      <sz val="10"/>
      <color theme="0" tint="-0.249977111117893"/>
      <name val="Calibri"/>
      <family val="2"/>
    </font>
    <font>
      <b/>
      <u/>
      <sz val="12"/>
      <name val="Calibri"/>
      <family val="2"/>
    </font>
    <font>
      <b/>
      <sz val="11"/>
      <color theme="1"/>
      <name val="Calibri"/>
      <family val="2"/>
      <scheme val="minor"/>
    </font>
    <font>
      <b/>
      <sz val="16"/>
      <color theme="1"/>
      <name val="Calibri"/>
      <family val="2"/>
      <scheme val="minor"/>
    </font>
    <font>
      <b/>
      <sz val="12"/>
      <color theme="0" tint="-0.34998626667073579"/>
      <name val="Calibri"/>
      <family val="2"/>
      <scheme val="minor"/>
    </font>
    <font>
      <b/>
      <sz val="8"/>
      <color theme="1"/>
      <name val="Calibri"/>
      <family val="2"/>
      <scheme val="minor"/>
    </font>
    <font>
      <sz val="8"/>
      <color theme="1"/>
      <name val="Calibri"/>
      <family val="2"/>
      <scheme val="minor"/>
    </font>
    <font>
      <sz val="9"/>
      <color indexed="81"/>
      <name val="Tahoma"/>
      <family val="2"/>
    </font>
    <font>
      <b/>
      <sz val="12"/>
      <color theme="0" tint="-0.249977111117893"/>
      <name val="Calibri"/>
      <family val="2"/>
    </font>
    <font>
      <b/>
      <sz val="11"/>
      <color indexed="21"/>
      <name val="Symbol"/>
      <family val="1"/>
      <charset val="2"/>
    </font>
    <font>
      <b/>
      <sz val="16"/>
      <name val="Calibri"/>
      <family val="2"/>
      <scheme val="minor"/>
    </font>
    <font>
      <b/>
      <sz val="14"/>
      <color rgb="FFFF0000"/>
      <name val="Calibri"/>
      <family val="2"/>
    </font>
    <font>
      <b/>
      <sz val="12"/>
      <color rgb="FFFF0000"/>
      <name val="Calibri"/>
      <family val="2"/>
    </font>
    <font>
      <b/>
      <sz val="9"/>
      <color indexed="81"/>
      <name val="Tahoma"/>
      <family val="2"/>
    </font>
    <font>
      <b/>
      <sz val="6"/>
      <color theme="1"/>
      <name val="Calibri"/>
      <family val="2"/>
      <scheme val="minor"/>
    </font>
    <font>
      <sz val="6"/>
      <color theme="1"/>
      <name val="Calibri"/>
      <family val="2"/>
      <scheme val="minor"/>
    </font>
    <font>
      <u/>
      <sz val="12"/>
      <name val="Calibri"/>
      <family val="2"/>
    </font>
    <font>
      <sz val="12"/>
      <color theme="0" tint="-0.34998626667073579"/>
      <name val="Calibri"/>
      <family val="2"/>
    </font>
    <font>
      <sz val="9"/>
      <color theme="0" tint="-0.14999847407452621"/>
      <name val="Calibri"/>
      <family val="2"/>
    </font>
    <font>
      <b/>
      <sz val="11"/>
      <name val="Calibri"/>
      <family val="2"/>
    </font>
    <font>
      <b/>
      <sz val="14"/>
      <name val="Myriad Pro"/>
      <family val="2"/>
    </font>
    <font>
      <sz val="11"/>
      <color theme="0" tint="-0.34998626667073579"/>
      <name val="Arial"/>
      <family val="2"/>
    </font>
    <font>
      <sz val="10"/>
      <color theme="0" tint="-0.34998626667073579"/>
      <name val="Arial"/>
      <family val="2"/>
    </font>
    <font>
      <b/>
      <u/>
      <sz val="10"/>
      <name val="Arial"/>
      <family val="2"/>
    </font>
    <font>
      <sz val="9"/>
      <name val="Calibri"/>
      <family val="2"/>
    </font>
    <font>
      <b/>
      <u/>
      <sz val="9"/>
      <name val="Arial"/>
      <family val="2"/>
    </font>
    <font>
      <b/>
      <sz val="9"/>
      <name val="Arial"/>
      <family val="2"/>
    </font>
    <font>
      <b/>
      <sz val="9"/>
      <name val="Calibri"/>
      <family val="2"/>
    </font>
    <font>
      <sz val="10"/>
      <color theme="1"/>
      <name val="Calibri"/>
      <family val="2"/>
      <scheme val="minor"/>
    </font>
    <font>
      <b/>
      <sz val="8"/>
      <name val="Calibri"/>
      <family val="2"/>
    </font>
    <font>
      <i/>
      <sz val="11"/>
      <color theme="0" tint="-0.34998626667073579"/>
      <name val="Arial"/>
      <family val="2"/>
    </font>
    <font>
      <i/>
      <sz val="10"/>
      <color theme="0" tint="-0.34998626667073579"/>
      <name val="Arial"/>
      <family val="2"/>
    </font>
    <font>
      <sz val="11"/>
      <color theme="0" tint="-0.34998626667073579"/>
      <name val="Calibri"/>
      <family val="2"/>
    </font>
    <font>
      <b/>
      <sz val="14"/>
      <color theme="0"/>
      <name val="Calibri"/>
      <family val="2"/>
    </font>
    <font>
      <b/>
      <u/>
      <sz val="11"/>
      <name val="Calibri"/>
      <family val="2"/>
    </font>
    <font>
      <i/>
      <sz val="12"/>
      <name val="Calibri"/>
      <family val="2"/>
    </font>
  </fonts>
  <fills count="2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rgb="FFCCFF99"/>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9"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xf numFmtId="2" fontId="3" fillId="2" borderId="1">
      <alignment horizontal="right"/>
    </xf>
    <xf numFmtId="0" fontId="3" fillId="3" borderId="1"/>
    <xf numFmtId="0" fontId="4" fillId="0" borderId="0"/>
    <xf numFmtId="9" fontId="3" fillId="0" borderId="0" applyFont="0" applyFill="0" applyBorder="0" applyAlignment="0" applyProtection="0"/>
    <xf numFmtId="43" fontId="21" fillId="0" borderId="0" applyFont="0" applyFill="0" applyBorder="0" applyAlignment="0" applyProtection="0"/>
    <xf numFmtId="0" fontId="23" fillId="0" borderId="0"/>
    <xf numFmtId="0" fontId="3" fillId="0" borderId="0"/>
    <xf numFmtId="0" fontId="3" fillId="0" borderId="0"/>
    <xf numFmtId="0" fontId="30" fillId="0" borderId="0"/>
    <xf numFmtId="0" fontId="2" fillId="0" borderId="0"/>
  </cellStyleXfs>
  <cellXfs count="742">
    <xf numFmtId="0" fontId="0" fillId="0" borderId="0" xfId="0"/>
    <xf numFmtId="0" fontId="5" fillId="0" borderId="0" xfId="0" applyFont="1"/>
    <xf numFmtId="1" fontId="0" fillId="0" borderId="0" xfId="0" applyNumberFormat="1"/>
    <xf numFmtId="2" fontId="0" fillId="0" borderId="0" xfId="0" applyNumberFormat="1"/>
    <xf numFmtId="0" fontId="8" fillId="6" borderId="0" xfId="0" applyFont="1" applyFill="1" applyAlignment="1">
      <alignment horizontal="left"/>
    </xf>
    <xf numFmtId="0" fontId="0" fillId="6" borderId="0" xfId="0" applyFill="1"/>
    <xf numFmtId="0" fontId="5" fillId="0" borderId="0" xfId="3" applyFont="1"/>
    <xf numFmtId="0" fontId="11" fillId="0" borderId="0" xfId="0" applyFont="1" applyAlignment="1">
      <alignment horizontal="left" vertical="top"/>
    </xf>
    <xf numFmtId="0" fontId="13" fillId="0" borderId="0" xfId="0" applyFont="1" applyAlignment="1">
      <alignment horizontal="left" vertical="top"/>
    </xf>
    <xf numFmtId="0" fontId="14" fillId="0" borderId="0" xfId="0" applyFont="1" applyAlignment="1">
      <alignment horizontal="left" vertical="top"/>
    </xf>
    <xf numFmtId="0" fontId="11" fillId="4" borderId="0" xfId="0" applyFont="1" applyFill="1" applyAlignment="1">
      <alignment horizontal="left" vertical="top"/>
    </xf>
    <xf numFmtId="0" fontId="11" fillId="7" borderId="0" xfId="0" applyFont="1" applyFill="1" applyAlignment="1">
      <alignment horizontal="left" vertical="top"/>
    </xf>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11" fillId="5" borderId="0" xfId="0" applyFont="1" applyFill="1" applyAlignment="1" applyProtection="1">
      <alignment horizontal="left" vertical="top"/>
      <protection locked="0"/>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5" fillId="0" borderId="0" xfId="0" applyFont="1"/>
    <xf numFmtId="0" fontId="16" fillId="0" borderId="0" xfId="0" applyFont="1" applyAlignment="1">
      <alignment horizontal="center"/>
    </xf>
    <xf numFmtId="0" fontId="17" fillId="0" borderId="0" xfId="0" applyFont="1"/>
    <xf numFmtId="0" fontId="18" fillId="0" borderId="0" xfId="0" applyFont="1"/>
    <xf numFmtId="0" fontId="19" fillId="0" borderId="0" xfId="0" applyFont="1" applyAlignment="1">
      <alignment horizontal="center"/>
    </xf>
    <xf numFmtId="0" fontId="15" fillId="0" borderId="0" xfId="3" applyFont="1"/>
    <xf numFmtId="0" fontId="15" fillId="0" borderId="0" xfId="0" quotePrefix="1" applyFont="1"/>
    <xf numFmtId="165" fontId="0" fillId="0" borderId="0" xfId="0" applyNumberFormat="1" applyAlignment="1">
      <alignment horizontal="center"/>
    </xf>
    <xf numFmtId="0" fontId="22" fillId="0" borderId="0" xfId="0" applyFont="1"/>
    <xf numFmtId="0" fontId="22" fillId="0" borderId="0" xfId="0" applyFont="1" applyAlignment="1">
      <alignment wrapText="1"/>
    </xf>
    <xf numFmtId="0" fontId="23" fillId="0" borderId="1" xfId="6" applyBorder="1" applyAlignment="1">
      <alignment vertical="top" wrapText="1"/>
    </xf>
    <xf numFmtId="0" fontId="22" fillId="0" borderId="0" xfId="0" applyFont="1" applyAlignment="1">
      <alignment horizontal="left" wrapText="1"/>
    </xf>
    <xf numFmtId="0" fontId="22" fillId="0" borderId="0" xfId="8" applyFont="1" applyAlignment="1" applyProtection="1">
      <alignment horizontal="left" wrapText="1"/>
      <protection locked="0"/>
    </xf>
    <xf numFmtId="0" fontId="23" fillId="6" borderId="8" xfId="6" applyFill="1" applyBorder="1" applyAlignment="1">
      <alignment horizontal="left" wrapText="1"/>
    </xf>
    <xf numFmtId="0" fontId="22" fillId="0" borderId="0" xfId="8" applyFont="1"/>
    <xf numFmtId="0" fontId="22" fillId="0" borderId="0" xfId="8" applyFont="1" applyProtection="1">
      <protection locked="0"/>
    </xf>
    <xf numFmtId="0" fontId="22" fillId="0" borderId="0" xfId="8" applyFont="1" applyAlignment="1" applyProtection="1">
      <alignment wrapText="1"/>
      <protection locked="0"/>
    </xf>
    <xf numFmtId="0" fontId="23" fillId="0" borderId="37" xfId="6" applyBorder="1" applyAlignment="1">
      <alignment vertical="top" wrapText="1"/>
    </xf>
    <xf numFmtId="0" fontId="32" fillId="13" borderId="0" xfId="8" applyFont="1" applyFill="1" applyAlignment="1">
      <alignment horizontal="left" wrapText="1"/>
    </xf>
    <xf numFmtId="0" fontId="32" fillId="13" borderId="0" xfId="8" applyFont="1" applyFill="1" applyAlignment="1">
      <alignment wrapText="1"/>
    </xf>
    <xf numFmtId="0" fontId="22" fillId="9" borderId="0" xfId="8" applyFont="1" applyFill="1"/>
    <xf numFmtId="2" fontId="22" fillId="9" borderId="0" xfId="8" quotePrefix="1" applyNumberFormat="1" applyFont="1" applyFill="1"/>
    <xf numFmtId="0" fontId="5" fillId="9" borderId="0" xfId="8" applyFont="1" applyFill="1" applyAlignment="1">
      <alignment wrapText="1"/>
    </xf>
    <xf numFmtId="0" fontId="24" fillId="9" borderId="0" xfId="8" applyFont="1" applyFill="1" applyAlignment="1">
      <alignment wrapText="1"/>
    </xf>
    <xf numFmtId="0" fontId="27" fillId="0" borderId="0" xfId="0" applyFont="1"/>
    <xf numFmtId="0" fontId="24" fillId="6" borderId="8" xfId="0" applyFont="1" applyFill="1" applyBorder="1"/>
    <xf numFmtId="0" fontId="22" fillId="0" borderId="0" xfId="0" applyFont="1" applyAlignment="1" applyProtection="1">
      <alignment wrapText="1"/>
      <protection locked="0"/>
    </xf>
    <xf numFmtId="0" fontId="22" fillId="0" borderId="0" xfId="0" applyFont="1" applyAlignment="1" applyProtection="1">
      <alignment horizontal="left" wrapText="1"/>
      <protection locked="0"/>
    </xf>
    <xf numFmtId="0" fontId="22" fillId="0" borderId="0" xfId="0" applyFont="1" applyProtection="1">
      <protection locked="0"/>
    </xf>
    <xf numFmtId="0" fontId="22" fillId="0" borderId="37" xfId="0" applyFont="1" applyBorder="1"/>
    <xf numFmtId="0" fontId="22" fillId="0" borderId="1" xfId="0" applyFont="1" applyBorder="1"/>
    <xf numFmtId="0" fontId="22" fillId="4" borderId="1" xfId="0" applyFont="1" applyFill="1" applyBorder="1" applyAlignment="1">
      <alignment horizontal="left"/>
    </xf>
    <xf numFmtId="0" fontId="22" fillId="0" borderId="1" xfId="0" applyFont="1" applyBorder="1" applyAlignment="1">
      <alignment wrapText="1"/>
    </xf>
    <xf numFmtId="0" fontId="22" fillId="12" borderId="0" xfId="0" applyFont="1" applyFill="1"/>
    <xf numFmtId="0" fontId="26" fillId="0" borderId="0" xfId="0" applyFont="1" applyAlignment="1">
      <alignment wrapText="1"/>
    </xf>
    <xf numFmtId="164" fontId="22" fillId="0" borderId="0" xfId="0" applyNumberFormat="1" applyFont="1"/>
    <xf numFmtId="0" fontId="25" fillId="0" borderId="0" xfId="0" applyFont="1" applyProtection="1">
      <protection hidden="1"/>
    </xf>
    <xf numFmtId="0" fontId="26" fillId="0" borderId="0" xfId="0" applyFont="1"/>
    <xf numFmtId="0" fontId="22" fillId="6" borderId="8" xfId="0" applyFont="1" applyFill="1" applyBorder="1" applyProtection="1">
      <protection hidden="1"/>
    </xf>
    <xf numFmtId="0" fontId="23" fillId="0" borderId="0" xfId="0" applyFont="1" applyAlignment="1" applyProtection="1">
      <alignment horizontal="left" wrapText="1"/>
      <protection locked="0" hidden="1"/>
    </xf>
    <xf numFmtId="0" fontId="25" fillId="0" borderId="0" xfId="0" applyFont="1" applyProtection="1">
      <protection locked="0" hidden="1"/>
    </xf>
    <xf numFmtId="0" fontId="25" fillId="0" borderId="0" xfId="0" applyFont="1" applyAlignment="1" applyProtection="1">
      <alignment horizontal="center"/>
      <protection hidden="1"/>
    </xf>
    <xf numFmtId="0" fontId="25" fillId="0" borderId="0" xfId="0" applyFont="1" applyAlignment="1" applyProtection="1">
      <alignment horizontal="left"/>
      <protection locked="0" hidden="1"/>
    </xf>
    <xf numFmtId="0" fontId="25" fillId="0" borderId="0" xfId="0" applyFont="1" applyAlignment="1" applyProtection="1">
      <alignment horizontal="center"/>
      <protection locked="0" hidden="1"/>
    </xf>
    <xf numFmtId="0" fontId="22" fillId="0" borderId="0" xfId="0" applyFont="1" applyProtection="1">
      <protection hidden="1"/>
    </xf>
    <xf numFmtId="0" fontId="25" fillId="0" borderId="0" xfId="0" applyFont="1" applyAlignment="1" applyProtection="1">
      <alignment horizontal="center" wrapText="1"/>
      <protection locked="0" hidden="1"/>
    </xf>
    <xf numFmtId="0" fontId="25" fillId="0" borderId="0" xfId="0" applyFont="1" applyAlignment="1" applyProtection="1">
      <alignment horizontal="left" wrapText="1"/>
      <protection locked="0" hidden="1"/>
    </xf>
    <xf numFmtId="0" fontId="24" fillId="0" borderId="35" xfId="0" applyFont="1" applyBorder="1" applyAlignment="1" applyProtection="1">
      <alignment horizontal="center" vertical="center" wrapText="1"/>
      <protection hidden="1"/>
    </xf>
    <xf numFmtId="0" fontId="22" fillId="0" borderId="0" xfId="0" applyFont="1" applyAlignment="1" applyProtection="1">
      <alignment horizontal="left" wrapText="1"/>
      <protection locked="0" hidden="1"/>
    </xf>
    <xf numFmtId="0" fontId="22" fillId="0" borderId="0" xfId="0" applyFont="1" applyAlignment="1" applyProtection="1">
      <alignment horizontal="right"/>
      <protection locked="0" hidden="1"/>
    </xf>
    <xf numFmtId="2" fontId="22" fillId="0" borderId="0" xfId="0" applyNumberFormat="1" applyFont="1" applyAlignment="1" applyProtection="1">
      <alignment horizontal="left" wrapText="1"/>
      <protection locked="0"/>
    </xf>
    <xf numFmtId="2" fontId="22" fillId="0" borderId="0" xfId="0" applyNumberFormat="1" applyFont="1" applyAlignment="1" applyProtection="1">
      <alignment horizontal="right" wrapText="1"/>
      <protection locked="0"/>
    </xf>
    <xf numFmtId="2" fontId="22" fillId="0" borderId="0" xfId="0" applyNumberFormat="1" applyFont="1" applyAlignment="1" applyProtection="1">
      <alignment horizontal="right"/>
      <protection locked="0"/>
    </xf>
    <xf numFmtId="2" fontId="22" fillId="0" borderId="0" xfId="0" applyNumberFormat="1" applyFont="1" applyAlignment="1" applyProtection="1">
      <alignment wrapText="1"/>
      <protection locked="0"/>
    </xf>
    <xf numFmtId="2" fontId="22" fillId="0" borderId="0" xfId="0" applyNumberFormat="1" applyFont="1" applyProtection="1">
      <protection locked="0"/>
    </xf>
    <xf numFmtId="165" fontId="22" fillId="0" borderId="0" xfId="0" applyNumberFormat="1" applyFont="1" applyAlignment="1" applyProtection="1">
      <alignment horizontal="left" wrapText="1"/>
      <protection locked="0"/>
    </xf>
    <xf numFmtId="0" fontId="22" fillId="0" borderId="0" xfId="0" applyFont="1" applyAlignment="1" applyProtection="1">
      <alignment horizontal="left"/>
      <protection locked="0" hidden="1"/>
    </xf>
    <xf numFmtId="165" fontId="22" fillId="0" borderId="0" xfId="0" applyNumberFormat="1" applyFont="1" applyAlignment="1" applyProtection="1">
      <alignment wrapText="1"/>
      <protection locked="0"/>
    </xf>
    <xf numFmtId="165" fontId="22" fillId="0" borderId="0" xfId="0" applyNumberFormat="1" applyFont="1" applyProtection="1">
      <protection locked="0"/>
    </xf>
    <xf numFmtId="0" fontId="24" fillId="0" borderId="0" xfId="0" applyFont="1" applyAlignment="1">
      <alignment horizontal="center"/>
    </xf>
    <xf numFmtId="0" fontId="22" fillId="0" borderId="16" xfId="0" applyFont="1" applyBorder="1"/>
    <xf numFmtId="0" fontId="22" fillId="0" borderId="26" xfId="0" applyFont="1" applyBorder="1"/>
    <xf numFmtId="0" fontId="0" fillId="9" borderId="0" xfId="0" applyFill="1"/>
    <xf numFmtId="2" fontId="0" fillId="9" borderId="0" xfId="0" applyNumberFormat="1" applyFill="1"/>
    <xf numFmtId="0" fontId="0" fillId="9" borderId="0" xfId="0" applyFill="1" applyAlignment="1">
      <alignment wrapText="1"/>
    </xf>
    <xf numFmtId="0" fontId="0" fillId="9" borderId="1" xfId="0" applyFill="1" applyBorder="1" applyAlignment="1">
      <alignment wrapText="1"/>
    </xf>
    <xf numFmtId="0" fontId="3" fillId="0" borderId="0" xfId="0" applyFont="1"/>
    <xf numFmtId="2" fontId="3" fillId="0" borderId="0" xfId="0" applyNumberFormat="1" applyFont="1"/>
    <xf numFmtId="0" fontId="35" fillId="0" borderId="0" xfId="0" applyFont="1"/>
    <xf numFmtId="164" fontId="0" fillId="0" borderId="0" xfId="0" applyNumberFormat="1"/>
    <xf numFmtId="0" fontId="3" fillId="0" borderId="0" xfId="0" applyFont="1" applyAlignment="1">
      <alignment wrapText="1"/>
    </xf>
    <xf numFmtId="2" fontId="0" fillId="4" borderId="1" xfId="0" applyNumberFormat="1" applyFill="1" applyBorder="1"/>
    <xf numFmtId="0" fontId="0" fillId="7" borderId="1" xfId="0" applyFill="1" applyBorder="1"/>
    <xf numFmtId="2" fontId="3" fillId="12" borderId="1" xfId="0" applyNumberFormat="1" applyFon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33" fillId="0" borderId="0" xfId="0" applyFont="1" applyAlignment="1">
      <alignment horizontal="center" vertical="center" wrapText="1"/>
    </xf>
    <xf numFmtId="165" fontId="0" fillId="0" borderId="0" xfId="0" applyNumberFormat="1"/>
    <xf numFmtId="1" fontId="0" fillId="7" borderId="1" xfId="0" applyNumberFormat="1" applyFill="1" applyBorder="1"/>
    <xf numFmtId="9" fontId="3" fillId="12" borderId="1" xfId="4" applyFont="1" applyFill="1" applyBorder="1"/>
    <xf numFmtId="0" fontId="20" fillId="0" borderId="0" xfId="0" applyFont="1"/>
    <xf numFmtId="2" fontId="22" fillId="10" borderId="1" xfId="0" applyNumberFormat="1" applyFont="1" applyFill="1" applyBorder="1" applyProtection="1">
      <protection locked="0"/>
    </xf>
    <xf numFmtId="0" fontId="24" fillId="0" borderId="0" xfId="0" applyFont="1" applyAlignment="1" applyProtection="1">
      <alignment horizontal="center" vertical="center" wrapText="1"/>
      <protection hidden="1"/>
    </xf>
    <xf numFmtId="0" fontId="22" fillId="0" borderId="0" xfId="0" applyFont="1" applyAlignment="1" applyProtection="1">
      <alignment horizontal="center"/>
      <protection hidden="1"/>
    </xf>
    <xf numFmtId="0" fontId="3" fillId="0" borderId="0" xfId="3" applyFont="1"/>
    <xf numFmtId="0" fontId="3" fillId="6" borderId="0" xfId="3" applyFont="1" applyFill="1"/>
    <xf numFmtId="0" fontId="39" fillId="0" borderId="0" xfId="0" applyFont="1" applyAlignment="1">
      <alignment horizontal="center"/>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2" fontId="41" fillId="13" borderId="39" xfId="0" applyNumberFormat="1" applyFont="1" applyFill="1" applyBorder="1" applyAlignment="1">
      <alignment vertical="center" wrapText="1"/>
    </xf>
    <xf numFmtId="0" fontId="22" fillId="0" borderId="40" xfId="8" applyFont="1" applyBorder="1" applyAlignment="1" applyProtection="1">
      <alignment horizontal="left" wrapText="1"/>
      <protection locked="0"/>
    </xf>
    <xf numFmtId="0" fontId="42" fillId="0" borderId="0" xfId="0" applyFont="1" applyAlignment="1">
      <alignment horizontal="center"/>
    </xf>
    <xf numFmtId="0" fontId="37" fillId="0" borderId="0" xfId="0" applyFont="1" applyAlignment="1">
      <alignment wrapText="1"/>
    </xf>
    <xf numFmtId="0" fontId="3" fillId="6" borderId="8" xfId="3" applyFont="1" applyFill="1" applyBorder="1"/>
    <xf numFmtId="0" fontId="0" fillId="0" borderId="8" xfId="0" applyBorder="1"/>
    <xf numFmtId="0" fontId="22" fillId="0" borderId="8" xfId="0" applyFont="1" applyBorder="1"/>
    <xf numFmtId="2" fontId="41" fillId="13" borderId="8" xfId="0" applyNumberFormat="1" applyFont="1" applyFill="1" applyBorder="1" applyAlignment="1">
      <alignment vertical="center" wrapText="1"/>
    </xf>
    <xf numFmtId="0" fontId="22" fillId="10" borderId="1" xfId="8" applyFont="1" applyFill="1" applyBorder="1"/>
    <xf numFmtId="0" fontId="8" fillId="6" borderId="0" xfId="7" applyFont="1" applyFill="1" applyAlignment="1">
      <alignment horizontal="left"/>
    </xf>
    <xf numFmtId="0" fontId="3" fillId="6" borderId="0" xfId="7" applyFill="1"/>
    <xf numFmtId="0" fontId="3" fillId="0" borderId="0" xfId="7"/>
    <xf numFmtId="0" fontId="6" fillId="0" borderId="0" xfId="7" applyFont="1"/>
    <xf numFmtId="0" fontId="3" fillId="5" borderId="0" xfId="7" applyFill="1" applyAlignment="1" applyProtection="1">
      <alignment horizontal="right"/>
      <protection locked="0"/>
    </xf>
    <xf numFmtId="0" fontId="20" fillId="0" borderId="0" xfId="7" applyFont="1"/>
    <xf numFmtId="0" fontId="12" fillId="0" borderId="0" xfId="7" applyFont="1"/>
    <xf numFmtId="0" fontId="3" fillId="0" borderId="0" xfId="7" applyAlignment="1">
      <alignment horizontal="right"/>
    </xf>
    <xf numFmtId="0" fontId="38" fillId="0" borderId="0" xfId="7" applyFont="1"/>
    <xf numFmtId="11" fontId="23" fillId="11" borderId="1" xfId="6" applyNumberFormat="1" applyFill="1" applyBorder="1" applyAlignment="1" applyProtection="1">
      <alignment horizontal="left" vertical="center"/>
      <protection locked="0"/>
    </xf>
    <xf numFmtId="11" fontId="23" fillId="11" borderId="1" xfId="6" applyNumberFormat="1" applyFill="1" applyBorder="1" applyAlignment="1" applyProtection="1">
      <alignment horizontal="left" vertical="center" wrapText="1"/>
      <protection locked="0"/>
    </xf>
    <xf numFmtId="0" fontId="24" fillId="0" borderId="33" xfId="8" applyFont="1" applyBorder="1"/>
    <xf numFmtId="0" fontId="47" fillId="0" borderId="33" xfId="0" applyFont="1" applyBorder="1"/>
    <xf numFmtId="0" fontId="47" fillId="0" borderId="31" xfId="0" applyFont="1" applyBorder="1"/>
    <xf numFmtId="0" fontId="47" fillId="0" borderId="20" xfId="0" applyFont="1" applyBorder="1"/>
    <xf numFmtId="0" fontId="25" fillId="0" borderId="0" xfId="0" applyFont="1" applyAlignment="1" applyProtection="1">
      <alignment horizontal="left"/>
      <protection hidden="1"/>
    </xf>
    <xf numFmtId="0" fontId="22" fillId="0" borderId="31" xfId="8" applyFont="1" applyBorder="1"/>
    <xf numFmtId="0" fontId="22" fillId="0" borderId="20" xfId="8" applyFont="1" applyBorder="1"/>
    <xf numFmtId="0" fontId="22" fillId="0" borderId="33" xfId="8" applyFont="1" applyBorder="1"/>
    <xf numFmtId="0" fontId="22" fillId="0" borderId="2" xfId="8" applyFont="1" applyBorder="1" applyAlignment="1">
      <alignment wrapText="1"/>
    </xf>
    <xf numFmtId="0" fontId="22" fillId="0" borderId="33" xfId="8" applyFont="1" applyBorder="1" applyAlignment="1">
      <alignment wrapText="1"/>
    </xf>
    <xf numFmtId="0" fontId="22" fillId="0" borderId="31" xfId="8" applyFont="1" applyBorder="1" applyAlignment="1">
      <alignment wrapText="1"/>
    </xf>
    <xf numFmtId="0" fontId="22" fillId="0" borderId="20" xfId="8" applyFont="1" applyBorder="1" applyAlignment="1">
      <alignment wrapText="1"/>
    </xf>
    <xf numFmtId="0" fontId="24" fillId="0" borderId="41" xfId="8" applyFont="1" applyBorder="1"/>
    <xf numFmtId="0" fontId="22" fillId="0" borderId="0" xfId="8" applyFont="1" applyAlignment="1">
      <alignment wrapText="1"/>
    </xf>
    <xf numFmtId="0" fontId="22" fillId="0" borderId="13" xfId="8" applyFont="1" applyBorder="1" applyAlignment="1">
      <alignment wrapText="1"/>
    </xf>
    <xf numFmtId="0" fontId="22" fillId="0" borderId="33" xfId="0" applyFont="1" applyBorder="1"/>
    <xf numFmtId="0" fontId="22" fillId="0" borderId="31" xfId="0" applyFont="1" applyBorder="1"/>
    <xf numFmtId="0" fontId="22" fillId="0" borderId="20" xfId="0" applyFont="1" applyBorder="1"/>
    <xf numFmtId="0" fontId="22" fillId="0" borderId="35" xfId="0" applyFont="1" applyBorder="1"/>
    <xf numFmtId="0" fontId="22" fillId="0" borderId="42" xfId="8" applyFont="1" applyBorder="1"/>
    <xf numFmtId="0" fontId="22" fillId="0" borderId="11" xfId="0" applyFont="1" applyBorder="1"/>
    <xf numFmtId="0" fontId="22" fillId="0" borderId="43" xfId="8" applyFont="1" applyBorder="1"/>
    <xf numFmtId="0" fontId="22" fillId="0" borderId="11" xfId="8" applyFont="1" applyBorder="1"/>
    <xf numFmtId="0" fontId="22" fillId="0" borderId="12" xfId="8" applyFont="1" applyBorder="1"/>
    <xf numFmtId="0" fontId="22" fillId="0" borderId="14" xfId="8" applyFont="1" applyBorder="1"/>
    <xf numFmtId="0" fontId="0" fillId="0" borderId="33" xfId="0" applyBorder="1"/>
    <xf numFmtId="0" fontId="0" fillId="0" borderId="31" xfId="0" applyBorder="1"/>
    <xf numFmtId="0" fontId="0" fillId="0" borderId="20" xfId="0" applyBorder="1"/>
    <xf numFmtId="0" fontId="22" fillId="0" borderId="35" xfId="8" applyFont="1" applyBorder="1"/>
    <xf numFmtId="0" fontId="24" fillId="0" borderId="0" xfId="0" applyFont="1" applyAlignment="1" applyProtection="1">
      <alignment horizontal="right" wrapText="1"/>
      <protection hidden="1"/>
    </xf>
    <xf numFmtId="0" fontId="22" fillId="4" borderId="37" xfId="0" applyFont="1" applyFill="1" applyBorder="1" applyProtection="1">
      <protection hidden="1"/>
    </xf>
    <xf numFmtId="0" fontId="25" fillId="0" borderId="35" xfId="0" applyFont="1" applyBorder="1" applyAlignment="1" applyProtection="1">
      <alignment horizontal="center"/>
      <protection hidden="1"/>
    </xf>
    <xf numFmtId="2" fontId="24" fillId="0" borderId="11" xfId="0" applyNumberFormat="1" applyFont="1" applyBorder="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5" fillId="0" borderId="0" xfId="0" applyFont="1" applyAlignment="1" applyProtection="1">
      <alignment horizontal="center" wrapText="1"/>
      <protection hidden="1"/>
    </xf>
    <xf numFmtId="0" fontId="25" fillId="0" borderId="41" xfId="0" applyFont="1" applyBorder="1" applyAlignment="1" applyProtection="1">
      <alignment horizontal="center" wrapText="1"/>
      <protection hidden="1"/>
    </xf>
    <xf numFmtId="0" fontId="25" fillId="0" borderId="42" xfId="0" applyFont="1" applyBorder="1" applyAlignment="1" applyProtection="1">
      <alignment horizontal="center" wrapText="1"/>
      <protection hidden="1"/>
    </xf>
    <xf numFmtId="0" fontId="24" fillId="9" borderId="21" xfId="0" applyFont="1" applyFill="1" applyBorder="1" applyAlignment="1">
      <alignment horizontal="center"/>
    </xf>
    <xf numFmtId="0" fontId="22" fillId="0" borderId="12" xfId="8" applyFont="1" applyBorder="1" applyAlignment="1">
      <alignment wrapText="1"/>
    </xf>
    <xf numFmtId="0" fontId="22" fillId="10" borderId="31" xfId="8" applyFont="1" applyFill="1" applyBorder="1"/>
    <xf numFmtId="0" fontId="22" fillId="10" borderId="20" xfId="8" applyFont="1" applyFill="1" applyBorder="1"/>
    <xf numFmtId="0" fontId="53" fillId="9" borderId="0" xfId="8" applyFont="1" applyFill="1"/>
    <xf numFmtId="0" fontId="56" fillId="6" borderId="8" xfId="3" applyFont="1" applyFill="1" applyBorder="1" applyAlignment="1">
      <alignment vertical="top" wrapText="1"/>
    </xf>
    <xf numFmtId="0" fontId="43" fillId="6" borderId="8" xfId="3" applyFont="1" applyFill="1" applyBorder="1"/>
    <xf numFmtId="0" fontId="55" fillId="0" borderId="0" xfId="0" applyFont="1"/>
    <xf numFmtId="0" fontId="57" fillId="0" borderId="0" xfId="3" applyFont="1"/>
    <xf numFmtId="2" fontId="59" fillId="13" borderId="7" xfId="0" applyNumberFormat="1" applyFont="1" applyFill="1" applyBorder="1" applyAlignment="1">
      <alignment vertical="center" wrapText="1"/>
    </xf>
    <xf numFmtId="2" fontId="59" fillId="13" borderId="8" xfId="0" applyNumberFormat="1" applyFont="1" applyFill="1" applyBorder="1" applyAlignment="1">
      <alignment vertical="center" wrapText="1"/>
    </xf>
    <xf numFmtId="0" fontId="30" fillId="0" borderId="37" xfId="6" applyFont="1" applyBorder="1" applyAlignment="1">
      <alignment horizontal="left" vertical="top" wrapText="1"/>
    </xf>
    <xf numFmtId="0" fontId="52" fillId="0" borderId="0" xfId="0" applyFont="1" applyAlignment="1">
      <alignment horizontal="left" vertical="top"/>
    </xf>
    <xf numFmtId="0" fontId="52" fillId="0" borderId="0" xfId="0" applyFont="1" applyAlignment="1">
      <alignment horizontal="left" vertical="top" wrapText="1"/>
    </xf>
    <xf numFmtId="0" fontId="30" fillId="0" borderId="1" xfId="6" applyFont="1" applyBorder="1" applyAlignment="1">
      <alignment horizontal="left" vertical="top" wrapText="1"/>
    </xf>
    <xf numFmtId="0" fontId="52" fillId="0" borderId="0" xfId="0" applyFont="1"/>
    <xf numFmtId="0" fontId="52" fillId="0" borderId="1" xfId="0" applyFont="1" applyBorder="1" applyAlignment="1">
      <alignment vertical="center"/>
    </xf>
    <xf numFmtId="0" fontId="52" fillId="0" borderId="1" xfId="0" applyFont="1" applyBorder="1"/>
    <xf numFmtId="0" fontId="52" fillId="0" borderId="38" xfId="0" applyFont="1" applyBorder="1"/>
    <xf numFmtId="0" fontId="62" fillId="0" borderId="0" xfId="0" applyFont="1"/>
    <xf numFmtId="168" fontId="22" fillId="0" borderId="0" xfId="0" applyNumberFormat="1" applyFont="1"/>
    <xf numFmtId="0" fontId="23" fillId="11" borderId="17" xfId="6" applyFill="1" applyBorder="1" applyAlignment="1" applyProtection="1">
      <alignment horizontal="center" vertical="top" wrapText="1"/>
      <protection locked="0"/>
    </xf>
    <xf numFmtId="0" fontId="23" fillId="11" borderId="25" xfId="6" applyFill="1" applyBorder="1" applyAlignment="1" applyProtection="1">
      <alignment horizontal="center" vertical="top" wrapText="1"/>
      <protection locked="0"/>
    </xf>
    <xf numFmtId="0" fontId="46" fillId="0" borderId="0" xfId="0" applyFont="1"/>
    <xf numFmtId="0" fontId="64" fillId="0" borderId="0" xfId="0" applyFont="1" applyAlignment="1">
      <alignment wrapText="1"/>
    </xf>
    <xf numFmtId="0" fontId="64" fillId="0" borderId="0" xfId="8" applyFont="1"/>
    <xf numFmtId="0" fontId="64" fillId="0" borderId="0" xfId="0" applyFont="1" applyAlignment="1">
      <alignment horizontal="left" vertical="top"/>
    </xf>
    <xf numFmtId="0" fontId="65" fillId="0" borderId="0" xfId="0" applyFont="1"/>
    <xf numFmtId="0" fontId="64" fillId="0" borderId="0" xfId="0" applyFont="1"/>
    <xf numFmtId="0" fontId="66" fillId="0" borderId="0" xfId="3" applyFont="1"/>
    <xf numFmtId="0" fontId="3" fillId="0" borderId="1" xfId="0" applyFont="1" applyBorder="1"/>
    <xf numFmtId="0" fontId="70" fillId="0" borderId="61" xfId="10" applyFont="1" applyBorder="1" applyAlignment="1">
      <alignment horizontal="center" vertical="center" wrapText="1"/>
    </xf>
    <xf numFmtId="0" fontId="2" fillId="0" borderId="0" xfId="10"/>
    <xf numFmtId="0" fontId="71" fillId="8" borderId="26" xfId="10" applyFont="1" applyFill="1" applyBorder="1" applyAlignment="1">
      <alignment horizontal="center" vertical="top" wrapText="1"/>
    </xf>
    <xf numFmtId="0" fontId="68" fillId="19" borderId="50" xfId="10" applyFont="1" applyFill="1" applyBorder="1" applyAlignment="1">
      <alignment horizontal="center" vertical="top"/>
    </xf>
    <xf numFmtId="0" fontId="68" fillId="0" borderId="15" xfId="10" applyFont="1" applyBorder="1" applyAlignment="1">
      <alignment horizontal="center" vertical="top"/>
    </xf>
    <xf numFmtId="0" fontId="68" fillId="0" borderId="10" xfId="10" applyFont="1" applyBorder="1" applyAlignment="1">
      <alignment horizontal="center" vertical="top"/>
    </xf>
    <xf numFmtId="0" fontId="68" fillId="0" borderId="21" xfId="10" applyFont="1" applyBorder="1" applyAlignment="1">
      <alignment horizontal="center" vertical="top"/>
    </xf>
    <xf numFmtId="0" fontId="68" fillId="18" borderId="63" xfId="10" applyFont="1" applyFill="1" applyBorder="1" applyAlignment="1">
      <alignment horizontal="center" vertical="top"/>
    </xf>
    <xf numFmtId="0" fontId="68" fillId="18" borderId="30" xfId="10" applyFont="1" applyFill="1" applyBorder="1" applyAlignment="1">
      <alignment horizontal="center" vertical="top"/>
    </xf>
    <xf numFmtId="0" fontId="68" fillId="18" borderId="25" xfId="10" applyFont="1" applyFill="1" applyBorder="1" applyAlignment="1">
      <alignment horizontal="center" vertical="top"/>
    </xf>
    <xf numFmtId="0" fontId="2" fillId="0" borderId="0" xfId="10" applyAlignment="1">
      <alignment vertical="top"/>
    </xf>
    <xf numFmtId="0" fontId="72" fillId="0" borderId="0" xfId="10" applyFont="1" applyAlignment="1">
      <alignment vertical="top"/>
    </xf>
    <xf numFmtId="0" fontId="2" fillId="19" borderId="64" xfId="10" applyFill="1" applyBorder="1"/>
    <xf numFmtId="0" fontId="2" fillId="0" borderId="16" xfId="10" applyBorder="1" applyAlignment="1">
      <alignment horizontal="center"/>
    </xf>
    <xf numFmtId="0" fontId="2" fillId="0" borderId="1" xfId="10" applyBorder="1" applyAlignment="1">
      <alignment horizontal="center"/>
    </xf>
    <xf numFmtId="0" fontId="2" fillId="0" borderId="17" xfId="10" applyBorder="1" applyAlignment="1">
      <alignment horizontal="center"/>
    </xf>
    <xf numFmtId="0" fontId="2" fillId="18" borderId="56" xfId="10" applyFill="1" applyBorder="1" applyAlignment="1">
      <alignment horizontal="center"/>
    </xf>
    <xf numFmtId="0" fontId="2" fillId="18" borderId="37" xfId="10" applyFill="1" applyBorder="1" applyAlignment="1">
      <alignment horizontal="center"/>
    </xf>
    <xf numFmtId="0" fontId="2" fillId="18" borderId="51" xfId="10" applyFill="1" applyBorder="1" applyAlignment="1">
      <alignment horizontal="center"/>
    </xf>
    <xf numFmtId="0" fontId="2" fillId="18" borderId="6" xfId="10" applyFill="1" applyBorder="1" applyAlignment="1">
      <alignment horizontal="center"/>
    </xf>
    <xf numFmtId="0" fontId="2" fillId="18" borderId="1" xfId="10" applyFill="1" applyBorder="1" applyAlignment="1">
      <alignment horizontal="center"/>
    </xf>
    <xf numFmtId="0" fontId="2" fillId="18" borderId="17" xfId="10" applyFill="1" applyBorder="1" applyAlignment="1">
      <alignment horizontal="center"/>
    </xf>
    <xf numFmtId="0" fontId="2" fillId="18" borderId="63" xfId="10" applyFill="1" applyBorder="1" applyAlignment="1">
      <alignment horizontal="center"/>
    </xf>
    <xf numFmtId="0" fontId="2" fillId="18" borderId="30" xfId="10" applyFill="1" applyBorder="1" applyAlignment="1">
      <alignment horizontal="center"/>
    </xf>
    <xf numFmtId="0" fontId="2" fillId="18" borderId="25" xfId="10" applyFill="1" applyBorder="1" applyAlignment="1">
      <alignment horizontal="center"/>
    </xf>
    <xf numFmtId="0" fontId="2" fillId="19" borderId="0" xfId="10" applyFill="1"/>
    <xf numFmtId="0" fontId="2" fillId="0" borderId="0" xfId="10" applyAlignment="1">
      <alignment horizontal="center"/>
    </xf>
    <xf numFmtId="0" fontId="24" fillId="17" borderId="1" xfId="8" applyFont="1" applyFill="1" applyBorder="1" applyAlignment="1">
      <alignment horizontal="left" vertical="center" wrapText="1"/>
    </xf>
    <xf numFmtId="0" fontId="74" fillId="0" borderId="1" xfId="8" applyFont="1" applyBorder="1" applyAlignment="1">
      <alignment horizontal="left" vertical="center" wrapText="1"/>
    </xf>
    <xf numFmtId="2" fontId="77" fillId="13" borderId="8" xfId="0" applyNumberFormat="1" applyFont="1" applyFill="1" applyBorder="1" applyAlignment="1">
      <alignment vertical="center" wrapText="1"/>
    </xf>
    <xf numFmtId="2" fontId="78" fillId="0" borderId="9" xfId="0" applyNumberFormat="1" applyFont="1" applyBorder="1" applyAlignment="1">
      <alignment wrapText="1"/>
    </xf>
    <xf numFmtId="0" fontId="28" fillId="0" borderId="9" xfId="0" applyFont="1" applyBorder="1" applyAlignment="1" applyProtection="1">
      <alignment vertical="top" wrapText="1"/>
      <protection hidden="1"/>
    </xf>
    <xf numFmtId="0" fontId="74" fillId="0" borderId="0" xfId="0" applyFont="1" applyAlignment="1" applyProtection="1">
      <alignment vertical="top" wrapText="1"/>
      <protection hidden="1"/>
    </xf>
    <xf numFmtId="0" fontId="78" fillId="0" borderId="0" xfId="0" applyFont="1" applyAlignment="1">
      <alignment wrapText="1"/>
    </xf>
    <xf numFmtId="0" fontId="2" fillId="18" borderId="54" xfId="10" applyFill="1" applyBorder="1" applyAlignment="1">
      <alignment horizontal="center"/>
    </xf>
    <xf numFmtId="0" fontId="2" fillId="18" borderId="4" xfId="10" applyFill="1" applyBorder="1" applyAlignment="1">
      <alignment horizontal="center"/>
    </xf>
    <xf numFmtId="0" fontId="2" fillId="18" borderId="66" xfId="10" applyFill="1" applyBorder="1" applyAlignment="1">
      <alignment horizontal="center"/>
    </xf>
    <xf numFmtId="0" fontId="68" fillId="18" borderId="66" xfId="10" applyFont="1" applyFill="1" applyBorder="1" applyAlignment="1">
      <alignment horizontal="center" vertical="top" wrapText="1"/>
    </xf>
    <xf numFmtId="0" fontId="80" fillId="18" borderId="62" xfId="10" applyFont="1" applyFill="1" applyBorder="1" applyAlignment="1">
      <alignment vertical="top" wrapText="1"/>
    </xf>
    <xf numFmtId="0" fontId="81" fillId="0" borderId="0" xfId="10" applyFont="1" applyAlignment="1">
      <alignment vertical="top"/>
    </xf>
    <xf numFmtId="0" fontId="81" fillId="0" borderId="0" xfId="10" applyFont="1" applyAlignment="1">
      <alignment vertical="top" wrapText="1"/>
    </xf>
    <xf numFmtId="0" fontId="68" fillId="0" borderId="65" xfId="10" applyFont="1" applyBorder="1" applyAlignment="1">
      <alignment horizontal="center" vertical="top"/>
    </xf>
    <xf numFmtId="0" fontId="2" fillId="0" borderId="4" xfId="10" applyBorder="1" applyAlignment="1">
      <alignment horizontal="center"/>
    </xf>
    <xf numFmtId="0" fontId="81" fillId="0" borderId="0" xfId="10" applyFont="1" applyAlignment="1">
      <alignment horizontal="center" vertical="top" wrapText="1"/>
    </xf>
    <xf numFmtId="0" fontId="59" fillId="13" borderId="8" xfId="0" applyFont="1" applyFill="1" applyBorder="1" applyAlignment="1">
      <alignment horizontal="center" vertical="center" wrapText="1"/>
    </xf>
    <xf numFmtId="0" fontId="22" fillId="21" borderId="0" xfId="0" applyFont="1" applyFill="1"/>
    <xf numFmtId="0" fontId="22" fillId="21" borderId="0" xfId="0" applyFont="1" applyFill="1" applyAlignment="1">
      <alignment wrapText="1"/>
    </xf>
    <xf numFmtId="0" fontId="22" fillId="21" borderId="0" xfId="0" applyFont="1" applyFill="1" applyAlignment="1">
      <alignment horizontal="left" wrapText="1"/>
    </xf>
    <xf numFmtId="0" fontId="52" fillId="21" borderId="0" xfId="0" applyFont="1" applyFill="1" applyAlignment="1">
      <alignment horizontal="left" vertical="top" wrapText="1"/>
    </xf>
    <xf numFmtId="0" fontId="52" fillId="21" borderId="0" xfId="3" applyFont="1" applyFill="1" applyAlignment="1">
      <alignment wrapText="1"/>
    </xf>
    <xf numFmtId="0" fontId="57" fillId="21" borderId="0" xfId="3" applyFont="1" applyFill="1"/>
    <xf numFmtId="0" fontId="5" fillId="21" borderId="0" xfId="3" applyFont="1" applyFill="1"/>
    <xf numFmtId="2" fontId="85" fillId="21" borderId="7" xfId="0" applyNumberFormat="1" applyFont="1" applyFill="1" applyBorder="1" applyAlignment="1">
      <alignment vertical="center" wrapText="1"/>
    </xf>
    <xf numFmtId="0" fontId="3" fillId="21" borderId="0" xfId="0" applyFont="1" applyFill="1"/>
    <xf numFmtId="0" fontId="52" fillId="21" borderId="37" xfId="6" applyFont="1" applyFill="1" applyBorder="1" applyAlignment="1">
      <alignment horizontal="left" vertical="top" wrapText="1"/>
    </xf>
    <xf numFmtId="0" fontId="52" fillId="21" borderId="1" xfId="6" applyFont="1" applyFill="1" applyBorder="1" applyAlignment="1">
      <alignment horizontal="left" vertical="top" wrapText="1"/>
    </xf>
    <xf numFmtId="0" fontId="85" fillId="21" borderId="8" xfId="0" applyFont="1" applyFill="1" applyBorder="1" applyAlignment="1">
      <alignment horizontal="center" vertical="center" wrapText="1"/>
    </xf>
    <xf numFmtId="0" fontId="22" fillId="21" borderId="0" xfId="0" applyFont="1" applyFill="1" applyAlignment="1">
      <alignment horizontal="left" vertical="top"/>
    </xf>
    <xf numFmtId="0" fontId="55" fillId="21" borderId="0" xfId="0" applyFont="1" applyFill="1"/>
    <xf numFmtId="0" fontId="85" fillId="21" borderId="41" xfId="0" applyFont="1" applyFill="1" applyBorder="1" applyAlignment="1">
      <alignment horizontal="center" vertical="center" wrapText="1"/>
    </xf>
    <xf numFmtId="0" fontId="52" fillId="10" borderId="1" xfId="0" applyFont="1" applyFill="1" applyBorder="1" applyAlignment="1">
      <alignment horizontal="left" vertical="top"/>
    </xf>
    <xf numFmtId="0" fontId="86" fillId="22" borderId="7" xfId="0" applyFont="1" applyFill="1" applyBorder="1" applyAlignment="1">
      <alignment horizontal="left"/>
    </xf>
    <xf numFmtId="0" fontId="86" fillId="22" borderId="58" xfId="0" applyFont="1" applyFill="1" applyBorder="1" applyAlignment="1">
      <alignment horizontal="center"/>
    </xf>
    <xf numFmtId="2" fontId="52" fillId="10" borderId="37" xfId="6" applyNumberFormat="1" applyFont="1" applyFill="1" applyBorder="1" applyAlignment="1">
      <alignment horizontal="left" vertical="top" wrapText="1"/>
    </xf>
    <xf numFmtId="0" fontId="22" fillId="10" borderId="1" xfId="0" applyFont="1" applyFill="1" applyBorder="1" applyAlignment="1">
      <alignment horizontal="left"/>
    </xf>
    <xf numFmtId="0" fontId="55" fillId="10" borderId="0" xfId="0" applyFont="1" applyFill="1"/>
    <xf numFmtId="0" fontId="22" fillId="10" borderId="6" xfId="0" applyFont="1" applyFill="1" applyBorder="1" applyAlignment="1">
      <alignment horizontal="left"/>
    </xf>
    <xf numFmtId="0" fontId="22" fillId="21" borderId="1" xfId="0" applyFont="1" applyFill="1" applyBorder="1" applyAlignment="1">
      <alignment wrapText="1"/>
    </xf>
    <xf numFmtId="0" fontId="55" fillId="21" borderId="1" xfId="0" applyFont="1" applyFill="1" applyBorder="1"/>
    <xf numFmtId="171" fontId="52" fillId="10" borderId="37" xfId="6" applyNumberFormat="1" applyFont="1" applyFill="1" applyBorder="1" applyAlignment="1">
      <alignment horizontal="left" vertical="top" wrapText="1"/>
    </xf>
    <xf numFmtId="171" fontId="52" fillId="10" borderId="1" xfId="0" applyNumberFormat="1" applyFont="1" applyFill="1" applyBorder="1" applyAlignment="1">
      <alignment horizontal="left" vertical="top"/>
    </xf>
    <xf numFmtId="2" fontId="22" fillId="10" borderId="43" xfId="8" applyNumberFormat="1" applyFont="1" applyFill="1" applyBorder="1"/>
    <xf numFmtId="0" fontId="58" fillId="6" borderId="1" xfId="0" applyFont="1" applyFill="1" applyBorder="1" applyAlignment="1">
      <alignment wrapText="1"/>
    </xf>
    <xf numFmtId="0" fontId="3" fillId="0" borderId="1" xfId="0" applyFont="1" applyBorder="1" applyAlignment="1">
      <alignment wrapText="1"/>
    </xf>
    <xf numFmtId="0" fontId="46" fillId="0" borderId="1" xfId="0" applyFont="1" applyBorder="1"/>
    <xf numFmtId="0" fontId="87" fillId="0" borderId="0" xfId="0" applyFont="1"/>
    <xf numFmtId="0" fontId="88" fillId="0" borderId="0" xfId="0" applyFont="1"/>
    <xf numFmtId="0" fontId="0" fillId="20" borderId="0" xfId="0" applyFill="1"/>
    <xf numFmtId="10" fontId="0" fillId="20" borderId="0" xfId="4" applyNumberFormat="1" applyFont="1" applyFill="1"/>
    <xf numFmtId="0" fontId="89" fillId="9" borderId="0" xfId="0" applyFont="1" applyFill="1" applyAlignment="1">
      <alignment wrapText="1"/>
    </xf>
    <xf numFmtId="0" fontId="62" fillId="0" borderId="0" xfId="0" applyFont="1" applyAlignment="1">
      <alignment wrapText="1"/>
    </xf>
    <xf numFmtId="2" fontId="5" fillId="19" borderId="1" xfId="0" applyNumberFormat="1" applyFont="1" applyFill="1" applyBorder="1" applyAlignment="1">
      <alignment horizontal="center" vertical="center"/>
    </xf>
    <xf numFmtId="0" fontId="0" fillId="10" borderId="1" xfId="0" applyFill="1" applyBorder="1" applyAlignment="1">
      <alignment horizontal="center" vertical="center"/>
    </xf>
    <xf numFmtId="0" fontId="62" fillId="10" borderId="1" xfId="0" applyFont="1" applyFill="1" applyBorder="1" applyAlignment="1">
      <alignment horizontal="center" vertical="center"/>
    </xf>
    <xf numFmtId="0" fontId="3" fillId="10" borderId="1" xfId="0" applyFont="1" applyFill="1" applyBorder="1" applyAlignment="1">
      <alignment horizontal="center" vertical="center"/>
    </xf>
    <xf numFmtId="0" fontId="22" fillId="0" borderId="1" xfId="0" applyFont="1" applyBorder="1" applyAlignment="1">
      <alignment horizontal="left" vertical="center" wrapText="1"/>
    </xf>
    <xf numFmtId="0" fontId="3" fillId="20" borderId="1" xfId="0" applyFont="1" applyFill="1" applyBorder="1"/>
    <xf numFmtId="0" fontId="3" fillId="20" borderId="1" xfId="0" applyFont="1" applyFill="1" applyBorder="1" applyAlignment="1">
      <alignment wrapText="1"/>
    </xf>
    <xf numFmtId="9" fontId="5" fillId="19" borderId="1" xfId="4" applyFont="1" applyFill="1" applyBorder="1" applyAlignment="1">
      <alignment horizontal="center" vertical="center"/>
    </xf>
    <xf numFmtId="0" fontId="5" fillId="19" borderId="1" xfId="5" applyNumberFormat="1" applyFont="1" applyFill="1" applyBorder="1" applyAlignment="1">
      <alignment horizontal="center" vertical="center"/>
    </xf>
    <xf numFmtId="0" fontId="90" fillId="0" borderId="0" xfId="0" applyFont="1" applyAlignment="1">
      <alignment horizontal="left" vertical="top" wrapText="1"/>
    </xf>
    <xf numFmtId="0" fontId="90" fillId="0" borderId="0" xfId="0" applyFont="1" applyAlignment="1">
      <alignment horizontal="left" vertical="top"/>
    </xf>
    <xf numFmtId="2" fontId="22" fillId="0" borderId="1" xfId="0" applyNumberFormat="1" applyFont="1" applyBorder="1" applyAlignment="1">
      <alignment horizontal="left" vertical="center" wrapText="1"/>
    </xf>
    <xf numFmtId="0" fontId="22" fillId="0" borderId="38" xfId="0" applyFont="1" applyBorder="1" applyAlignment="1">
      <alignment horizontal="left" vertical="center" wrapText="1"/>
    </xf>
    <xf numFmtId="0" fontId="53" fillId="9" borderId="0" xfId="8" applyFont="1" applyFill="1" applyAlignment="1">
      <alignment horizontal="right"/>
    </xf>
    <xf numFmtId="0" fontId="53" fillId="9" borderId="0" xfId="8" applyFont="1" applyFill="1" applyAlignment="1">
      <alignment horizontal="center"/>
    </xf>
    <xf numFmtId="0" fontId="85" fillId="25" borderId="1" xfId="0" applyFont="1" applyFill="1" applyBorder="1" applyAlignment="1">
      <alignment horizontal="center" vertical="center"/>
    </xf>
    <xf numFmtId="2" fontId="85" fillId="25" borderId="1" xfId="0" applyNumberFormat="1" applyFont="1" applyFill="1" applyBorder="1" applyAlignment="1">
      <alignment horizontal="center" vertical="center" wrapText="1"/>
    </xf>
    <xf numFmtId="0" fontId="85" fillId="25" borderId="1" xfId="0" applyFont="1" applyFill="1" applyBorder="1" applyAlignment="1">
      <alignment horizontal="center" vertical="center" wrapText="1"/>
    </xf>
    <xf numFmtId="9" fontId="85" fillId="25" borderId="1" xfId="4" applyFont="1" applyFill="1" applyBorder="1" applyAlignment="1" applyProtection="1">
      <alignment horizontal="center" vertical="center" wrapText="1"/>
    </xf>
    <xf numFmtId="2" fontId="85" fillId="25" borderId="1" xfId="0" applyNumberFormat="1" applyFont="1" applyFill="1" applyBorder="1" applyAlignment="1">
      <alignment horizontal="center" vertical="center"/>
    </xf>
    <xf numFmtId="9" fontId="85" fillId="25" borderId="1" xfId="4" applyFont="1" applyFill="1" applyBorder="1" applyAlignment="1" applyProtection="1">
      <alignment horizontal="center" vertical="center"/>
    </xf>
    <xf numFmtId="0" fontId="85" fillId="25" borderId="38" xfId="0" applyFont="1" applyFill="1" applyBorder="1" applyAlignment="1">
      <alignment horizontal="center" vertical="center"/>
    </xf>
    <xf numFmtId="0" fontId="12" fillId="20" borderId="1" xfId="0" applyFont="1" applyFill="1" applyBorder="1" applyAlignment="1">
      <alignment wrapText="1"/>
    </xf>
    <xf numFmtId="10" fontId="12" fillId="20" borderId="0" xfId="4" applyNumberFormat="1" applyFont="1" applyFill="1"/>
    <xf numFmtId="0" fontId="91" fillId="9" borderId="0" xfId="0" applyFont="1" applyFill="1" applyAlignment="1">
      <alignment wrapText="1"/>
    </xf>
    <xf numFmtId="0" fontId="12" fillId="0" borderId="0" xfId="0" applyFont="1" applyAlignment="1">
      <alignment wrapText="1"/>
    </xf>
    <xf numFmtId="0" fontId="90" fillId="0" borderId="1" xfId="0" applyFont="1" applyBorder="1" applyAlignment="1">
      <alignment horizontal="left" vertical="center" wrapText="1"/>
    </xf>
    <xf numFmtId="0" fontId="12" fillId="10" borderId="1" xfId="0" applyFont="1" applyFill="1" applyBorder="1" applyAlignment="1">
      <alignment horizontal="center" vertical="center"/>
    </xf>
    <xf numFmtId="2" fontId="93" fillId="25" borderId="1" xfId="0" applyNumberFormat="1" applyFont="1" applyFill="1" applyBorder="1" applyAlignment="1">
      <alignment horizontal="center" vertical="center" wrapText="1"/>
    </xf>
    <xf numFmtId="0" fontId="93" fillId="25" borderId="1" xfId="0" applyFont="1" applyFill="1" applyBorder="1" applyAlignment="1">
      <alignment horizontal="center" vertical="center" wrapText="1"/>
    </xf>
    <xf numFmtId="9" fontId="93" fillId="25" borderId="1" xfId="4" applyFont="1" applyFill="1" applyBorder="1" applyAlignment="1" applyProtection="1">
      <alignment horizontal="center" vertical="center" wrapText="1"/>
    </xf>
    <xf numFmtId="1" fontId="92" fillId="19" borderId="1" xfId="0" applyNumberFormat="1" applyFont="1" applyFill="1" applyBorder="1" applyAlignment="1">
      <alignment horizontal="center" vertical="center" wrapText="1"/>
    </xf>
    <xf numFmtId="43" fontId="93" fillId="25" borderId="1" xfId="5" applyFont="1" applyFill="1" applyBorder="1" applyAlignment="1" applyProtection="1">
      <alignment horizontal="center" vertical="center" wrapText="1"/>
    </xf>
    <xf numFmtId="0" fontId="12" fillId="10" borderId="1" xfId="0" applyFont="1" applyFill="1" applyBorder="1" applyAlignment="1">
      <alignment horizontal="center" vertical="center" wrapText="1"/>
    </xf>
    <xf numFmtId="2" fontId="92" fillId="19" borderId="1" xfId="0" applyNumberFormat="1" applyFont="1" applyFill="1" applyBorder="1" applyAlignment="1">
      <alignment horizontal="center" vertical="center" wrapText="1"/>
    </xf>
    <xf numFmtId="0" fontId="92" fillId="19" borderId="1" xfId="0" applyFont="1" applyFill="1" applyBorder="1" applyAlignment="1">
      <alignment horizontal="center" vertical="center" wrapText="1"/>
    </xf>
    <xf numFmtId="164" fontId="92" fillId="19" borderId="1" xfId="0" applyNumberFormat="1" applyFont="1" applyFill="1" applyBorder="1" applyAlignment="1">
      <alignment horizontal="center" vertical="center" wrapText="1"/>
    </xf>
    <xf numFmtId="9" fontId="92" fillId="19" borderId="1" xfId="4" applyFont="1" applyFill="1" applyBorder="1" applyAlignment="1">
      <alignment horizontal="center" vertical="center" wrapText="1"/>
    </xf>
    <xf numFmtId="43" fontId="92" fillId="19" borderId="1" xfId="5" applyFont="1" applyFill="1" applyBorder="1" applyAlignment="1">
      <alignment horizontal="center" vertical="center" wrapText="1"/>
    </xf>
    <xf numFmtId="43" fontId="0" fillId="0" borderId="0" xfId="0" applyNumberFormat="1"/>
    <xf numFmtId="172" fontId="0" fillId="0" borderId="0" xfId="0" applyNumberFormat="1"/>
    <xf numFmtId="9" fontId="0" fillId="0" borderId="0" xfId="0" applyNumberFormat="1" applyAlignment="1">
      <alignment horizontal="right"/>
    </xf>
    <xf numFmtId="0" fontId="5" fillId="19" borderId="1" xfId="0" applyFont="1" applyFill="1" applyBorder="1" applyAlignment="1">
      <alignment horizontal="center" vertical="center"/>
    </xf>
    <xf numFmtId="11" fontId="5" fillId="19" borderId="1" xfId="0" applyNumberFormat="1" applyFont="1" applyFill="1" applyBorder="1" applyAlignment="1">
      <alignment horizontal="center" vertical="center"/>
    </xf>
    <xf numFmtId="11" fontId="5" fillId="19" borderId="1" xfId="0" applyNumberFormat="1" applyFont="1" applyFill="1" applyBorder="1" applyAlignment="1">
      <alignment horizontal="center" vertical="center" wrapText="1"/>
    </xf>
    <xf numFmtId="0" fontId="86" fillId="22" borderId="7" xfId="0" applyFont="1" applyFill="1" applyBorder="1" applyAlignment="1">
      <alignment horizontal="left" wrapText="1"/>
    </xf>
    <xf numFmtId="0" fontId="94" fillId="10" borderId="1" xfId="10" applyFont="1" applyFill="1" applyBorder="1" applyAlignment="1">
      <alignment vertical="top"/>
    </xf>
    <xf numFmtId="0" fontId="94" fillId="10" borderId="37" xfId="10" applyFont="1" applyFill="1" applyBorder="1" applyAlignment="1">
      <alignment vertical="top"/>
    </xf>
    <xf numFmtId="0" fontId="2" fillId="19" borderId="12" xfId="10" applyFill="1" applyBorder="1"/>
    <xf numFmtId="0" fontId="2" fillId="0" borderId="26" xfId="10" applyBorder="1" applyAlignment="1">
      <alignment horizontal="center"/>
    </xf>
    <xf numFmtId="0" fontId="2" fillId="0" borderId="30" xfId="10" applyBorder="1" applyAlignment="1">
      <alignment horizontal="center"/>
    </xf>
    <xf numFmtId="0" fontId="2" fillId="0" borderId="25" xfId="10" applyBorder="1" applyAlignment="1">
      <alignment horizontal="center"/>
    </xf>
    <xf numFmtId="0" fontId="5" fillId="19"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62"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9" borderId="0" xfId="10" applyFill="1" applyAlignment="1">
      <alignment wrapText="1"/>
    </xf>
    <xf numFmtId="0" fontId="3" fillId="20" borderId="24" xfId="0" applyFont="1" applyFill="1" applyBorder="1" applyAlignment="1">
      <alignment wrapText="1"/>
    </xf>
    <xf numFmtId="0" fontId="3" fillId="20" borderId="81" xfId="0" applyFont="1" applyFill="1" applyBorder="1" applyAlignment="1">
      <alignment wrapText="1"/>
    </xf>
    <xf numFmtId="10" fontId="0" fillId="20" borderId="8" xfId="4" applyNumberFormat="1" applyFont="1" applyFill="1" applyBorder="1"/>
    <xf numFmtId="0" fontId="0" fillId="20" borderId="58" xfId="0" applyFill="1" applyBorder="1"/>
    <xf numFmtId="0" fontId="68" fillId="8" borderId="15" xfId="10" applyFont="1" applyFill="1" applyBorder="1" applyAlignment="1">
      <alignment horizontal="center" vertical="top" wrapText="1"/>
    </xf>
    <xf numFmtId="0" fontId="68" fillId="8" borderId="10" xfId="10" applyFont="1" applyFill="1" applyBorder="1" applyAlignment="1">
      <alignment horizontal="center" vertical="top" wrapText="1"/>
    </xf>
    <xf numFmtId="0" fontId="68" fillId="8" borderId="10" xfId="10" applyFont="1" applyFill="1" applyBorder="1" applyAlignment="1">
      <alignment vertical="top" wrapText="1"/>
    </xf>
    <xf numFmtId="0" fontId="68" fillId="8" borderId="21" xfId="10" applyFont="1" applyFill="1" applyBorder="1" applyAlignment="1">
      <alignment horizontal="center" vertical="top" wrapText="1"/>
    </xf>
    <xf numFmtId="0" fontId="2" fillId="8" borderId="1" xfId="10" applyFill="1" applyBorder="1" applyAlignment="1">
      <alignment horizontal="center" wrapText="1"/>
    </xf>
    <xf numFmtId="0" fontId="85" fillId="25" borderId="1" xfId="5" applyNumberFormat="1" applyFont="1" applyFill="1" applyBorder="1" applyAlignment="1" applyProtection="1">
      <alignment horizontal="center" vertical="center"/>
    </xf>
    <xf numFmtId="9" fontId="5" fillId="19" borderId="1" xfId="5" applyNumberFormat="1" applyFont="1" applyFill="1" applyBorder="1" applyAlignment="1">
      <alignment horizontal="center" vertical="center"/>
    </xf>
    <xf numFmtId="2" fontId="5" fillId="19" borderId="1" xfId="5" applyNumberFormat="1" applyFont="1" applyFill="1" applyBorder="1" applyAlignment="1">
      <alignment horizontal="center" vertical="center"/>
    </xf>
    <xf numFmtId="1" fontId="5" fillId="19" borderId="1" xfId="5" applyNumberFormat="1" applyFont="1" applyFill="1" applyBorder="1" applyAlignment="1">
      <alignment horizontal="center" vertical="center"/>
    </xf>
    <xf numFmtId="1" fontId="85" fillId="25" borderId="1" xfId="4" applyNumberFormat="1" applyFont="1" applyFill="1" applyBorder="1" applyAlignment="1" applyProtection="1">
      <alignment horizontal="center" vertical="center"/>
    </xf>
    <xf numFmtId="2" fontId="85" fillId="25" borderId="1" xfId="5" applyNumberFormat="1" applyFont="1" applyFill="1" applyBorder="1" applyAlignment="1" applyProtection="1">
      <alignment horizontal="center" vertical="center"/>
    </xf>
    <xf numFmtId="1" fontId="92" fillId="19" borderId="1" xfId="5" applyNumberFormat="1" applyFont="1" applyFill="1" applyBorder="1" applyAlignment="1">
      <alignment horizontal="center" vertical="center" wrapText="1"/>
    </xf>
    <xf numFmtId="1" fontId="95" fillId="25" borderId="1" xfId="4" applyNumberFormat="1" applyFont="1" applyFill="1" applyBorder="1" applyAlignment="1" applyProtection="1">
      <alignment horizontal="center" vertical="center" wrapText="1"/>
    </xf>
    <xf numFmtId="0" fontId="85" fillId="25" borderId="1" xfId="5" applyNumberFormat="1" applyFont="1" applyFill="1" applyBorder="1" applyAlignment="1" applyProtection="1">
      <alignment horizontal="center" vertical="center" wrapText="1"/>
    </xf>
    <xf numFmtId="0" fontId="5" fillId="19" borderId="1" xfId="5" applyNumberFormat="1" applyFont="1" applyFill="1" applyBorder="1" applyAlignment="1">
      <alignment horizontal="center" vertical="center" wrapText="1"/>
    </xf>
    <xf numFmtId="0" fontId="96" fillId="0" borderId="0" xfId="0" applyFont="1"/>
    <xf numFmtId="0" fontId="97" fillId="0" borderId="0" xfId="0" applyFont="1"/>
    <xf numFmtId="10" fontId="98" fillId="10" borderId="1" xfId="4" applyNumberFormat="1" applyFont="1" applyFill="1" applyBorder="1" applyAlignment="1" applyProtection="1">
      <alignment horizontal="center" wrapText="1"/>
    </xf>
    <xf numFmtId="43" fontId="98" fillId="10" borderId="1" xfId="5" applyFont="1" applyFill="1" applyBorder="1" applyAlignment="1" applyProtection="1">
      <alignment horizontal="center" wrapText="1"/>
    </xf>
    <xf numFmtId="2" fontId="98" fillId="10" borderId="1" xfId="0" applyNumberFormat="1" applyFont="1" applyFill="1" applyBorder="1" applyAlignment="1">
      <alignment horizontal="center" wrapText="1"/>
    </xf>
    <xf numFmtId="167" fontId="98" fillId="10" borderId="1" xfId="4" applyNumberFormat="1" applyFont="1" applyFill="1" applyBorder="1" applyAlignment="1" applyProtection="1">
      <alignment horizontal="center" wrapText="1"/>
    </xf>
    <xf numFmtId="0" fontId="98" fillId="10" borderId="1" xfId="5" applyNumberFormat="1" applyFont="1" applyFill="1" applyBorder="1" applyAlignment="1" applyProtection="1">
      <alignment horizontal="center" wrapText="1"/>
    </xf>
    <xf numFmtId="167" fontId="98" fillId="10" borderId="1" xfId="4" applyNumberFormat="1" applyFont="1" applyFill="1" applyBorder="1" applyAlignment="1" applyProtection="1">
      <alignment wrapText="1"/>
    </xf>
    <xf numFmtId="0" fontId="24" fillId="0" borderId="15" xfId="0" applyFont="1" applyBorder="1" applyAlignment="1">
      <alignment wrapText="1"/>
    </xf>
    <xf numFmtId="0" fontId="23" fillId="0" borderId="37" xfId="6" applyBorder="1" applyAlignment="1">
      <alignment vertical="center" wrapText="1"/>
    </xf>
    <xf numFmtId="2" fontId="23" fillId="10" borderId="37" xfId="6" applyNumberFormat="1" applyFill="1" applyBorder="1" applyAlignment="1">
      <alignment horizontal="center" vertical="center" wrapText="1"/>
    </xf>
    <xf numFmtId="0" fontId="23" fillId="0" borderId="1" xfId="6" applyBorder="1" applyAlignment="1">
      <alignment vertical="center" wrapText="1"/>
    </xf>
    <xf numFmtId="1" fontId="23" fillId="4" borderId="1" xfId="6" applyNumberFormat="1" applyFill="1" applyBorder="1" applyAlignment="1">
      <alignment horizontal="center" vertical="center" wrapText="1"/>
    </xf>
    <xf numFmtId="0" fontId="23" fillId="10" borderId="1" xfId="6" applyFill="1" applyBorder="1" applyAlignment="1">
      <alignment horizontal="center" vertical="center" wrapText="1"/>
    </xf>
    <xf numFmtId="9" fontId="23" fillId="10" borderId="1" xfId="4" applyFont="1" applyFill="1" applyBorder="1" applyAlignment="1" applyProtection="1">
      <alignment horizontal="center" vertical="center" wrapText="1"/>
    </xf>
    <xf numFmtId="2" fontId="23" fillId="10" borderId="1" xfId="6" applyNumberFormat="1" applyFill="1" applyBorder="1" applyAlignment="1">
      <alignment horizontal="center" vertical="center" wrapText="1"/>
    </xf>
    <xf numFmtId="0" fontId="23" fillId="0" borderId="38" xfId="6" applyBorder="1" applyAlignment="1">
      <alignment vertical="center" wrapText="1"/>
    </xf>
    <xf numFmtId="2" fontId="22" fillId="11" borderId="16" xfId="0" applyNumberFormat="1" applyFont="1" applyFill="1" applyBorder="1" applyAlignment="1" applyProtection="1">
      <alignment horizontal="center" vertical="center"/>
      <protection locked="0"/>
    </xf>
    <xf numFmtId="0" fontId="8" fillId="6" borderId="0" xfId="0" applyFont="1" applyFill="1" applyAlignment="1">
      <alignment horizontal="left" vertical="center"/>
    </xf>
    <xf numFmtId="11" fontId="23" fillId="11" borderId="37" xfId="6" applyNumberFormat="1" applyFill="1" applyBorder="1" applyAlignment="1" applyProtection="1">
      <alignment horizontal="center" vertical="center" wrapText="1"/>
      <protection locked="0"/>
    </xf>
    <xf numFmtId="0" fontId="23" fillId="11" borderId="1" xfId="6" applyFill="1" applyBorder="1" applyAlignment="1" applyProtection="1">
      <alignment horizontal="center" vertical="center" wrapText="1"/>
      <protection locked="0"/>
    </xf>
    <xf numFmtId="2" fontId="23" fillId="11" borderId="1" xfId="6" applyNumberFormat="1" applyFill="1" applyBorder="1" applyAlignment="1" applyProtection="1">
      <alignment horizontal="center" vertical="center" wrapText="1"/>
      <protection locked="0"/>
    </xf>
    <xf numFmtId="0" fontId="23" fillId="0" borderId="1" xfId="9" applyFont="1" applyBorder="1" applyAlignment="1" applyProtection="1">
      <alignment vertical="center"/>
      <protection hidden="1"/>
    </xf>
    <xf numFmtId="0" fontId="22" fillId="0" borderId="1" xfId="0" applyFont="1" applyBorder="1" applyAlignment="1">
      <alignment vertical="center"/>
    </xf>
    <xf numFmtId="2" fontId="22" fillId="10" borderId="37" xfId="0" applyNumberFormat="1" applyFont="1" applyFill="1" applyBorder="1" applyAlignment="1">
      <alignment horizontal="center" vertical="center"/>
    </xf>
    <xf numFmtId="0" fontId="22" fillId="14" borderId="1" xfId="0" applyFont="1" applyFill="1" applyBorder="1" applyAlignment="1">
      <alignment horizontal="center" vertical="center"/>
    </xf>
    <xf numFmtId="0" fontId="22" fillId="0" borderId="38" xfId="0" applyFont="1" applyBorder="1" applyAlignment="1">
      <alignment vertical="center"/>
    </xf>
    <xf numFmtId="2" fontId="22" fillId="10" borderId="38" xfId="0" applyNumberFormat="1" applyFont="1" applyFill="1" applyBorder="1" applyAlignment="1" applyProtection="1">
      <alignment horizontal="center" vertical="center"/>
      <protection locked="0"/>
    </xf>
    <xf numFmtId="0" fontId="22" fillId="0" borderId="37" xfId="0" applyFont="1" applyBorder="1" applyAlignment="1">
      <alignment vertical="center"/>
    </xf>
    <xf numFmtId="0" fontId="22" fillId="4" borderId="37" xfId="6" applyFont="1" applyFill="1" applyBorder="1" applyAlignment="1">
      <alignment horizontal="center" vertical="center" wrapText="1"/>
    </xf>
    <xf numFmtId="0" fontId="22" fillId="0" borderId="1" xfId="0" applyFont="1" applyBorder="1" applyAlignment="1">
      <alignment vertical="center" wrapText="1"/>
    </xf>
    <xf numFmtId="0" fontId="22" fillId="11" borderId="1" xfId="0" applyFont="1" applyFill="1" applyBorder="1" applyAlignment="1" applyProtection="1">
      <alignment horizontal="center" vertical="center"/>
      <protection locked="0"/>
    </xf>
    <xf numFmtId="0" fontId="22" fillId="4" borderId="1" xfId="0" applyFont="1" applyFill="1" applyBorder="1" applyAlignment="1">
      <alignment horizontal="center" vertical="center"/>
    </xf>
    <xf numFmtId="2" fontId="22" fillId="10" borderId="1" xfId="0" applyNumberFormat="1" applyFont="1" applyFill="1" applyBorder="1" applyAlignment="1" applyProtection="1">
      <alignment horizontal="center" vertical="center"/>
      <protection locked="0"/>
    </xf>
    <xf numFmtId="2" fontId="22" fillId="11" borderId="1" xfId="0" applyNumberFormat="1" applyFont="1" applyFill="1" applyBorder="1" applyAlignment="1" applyProtection="1">
      <alignment horizontal="center" vertical="center"/>
      <protection locked="0"/>
    </xf>
    <xf numFmtId="2" fontId="22" fillId="4" borderId="1" xfId="0" applyNumberFormat="1" applyFont="1" applyFill="1" applyBorder="1" applyAlignment="1">
      <alignment horizontal="center" vertical="center"/>
    </xf>
    <xf numFmtId="9" fontId="22" fillId="11" borderId="1" xfId="4" applyFont="1" applyFill="1" applyBorder="1" applyAlignment="1" applyProtection="1">
      <alignment horizontal="center" vertical="center"/>
      <protection locked="0"/>
    </xf>
    <xf numFmtId="0" fontId="22" fillId="0" borderId="1" xfId="0" applyFont="1" applyBorder="1" applyAlignment="1">
      <alignment horizontal="right" vertical="center"/>
    </xf>
    <xf numFmtId="0" fontId="22" fillId="0" borderId="48" xfId="0" applyFont="1" applyBorder="1" applyAlignment="1" applyProtection="1">
      <alignment horizontal="center" vertical="center"/>
      <protection hidden="1"/>
    </xf>
    <xf numFmtId="0" fontId="22" fillId="0" borderId="49" xfId="0" applyFont="1" applyBorder="1" applyAlignment="1" applyProtection="1">
      <alignment horizontal="center" vertical="center"/>
      <protection hidden="1"/>
    </xf>
    <xf numFmtId="0" fontId="22" fillId="0" borderId="50" xfId="0" applyFont="1" applyBorder="1" applyAlignment="1" applyProtection="1">
      <alignment horizontal="center" vertical="center"/>
      <protection hidden="1"/>
    </xf>
    <xf numFmtId="2" fontId="22" fillId="11" borderId="25" xfId="0" applyNumberFormat="1" applyFont="1" applyFill="1" applyBorder="1" applyAlignment="1" applyProtection="1">
      <alignment vertical="center"/>
      <protection locked="0"/>
    </xf>
    <xf numFmtId="0" fontId="22" fillId="0" borderId="18"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2" fontId="22" fillId="11" borderId="17" xfId="0" applyNumberFormat="1" applyFont="1" applyFill="1" applyBorder="1" applyAlignment="1" applyProtection="1">
      <alignment vertical="center"/>
      <protection locked="0"/>
    </xf>
    <xf numFmtId="0" fontId="22" fillId="0" borderId="34"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32" xfId="0" applyFont="1" applyBorder="1" applyAlignment="1" applyProtection="1">
      <alignment horizontal="center" vertical="center"/>
      <protection hidden="1"/>
    </xf>
    <xf numFmtId="0" fontId="22" fillId="0" borderId="15" xfId="0" applyFont="1" applyBorder="1" applyAlignment="1" applyProtection="1">
      <alignment vertical="center"/>
      <protection hidden="1"/>
    </xf>
    <xf numFmtId="0" fontId="22" fillId="0" borderId="29" xfId="0" applyFont="1" applyBorder="1" applyAlignment="1" applyProtection="1">
      <alignment vertical="center"/>
      <protection hidden="1"/>
    </xf>
    <xf numFmtId="0" fontId="22" fillId="0" borderId="15"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2" fontId="22" fillId="11" borderId="26" xfId="0" applyNumberFormat="1" applyFont="1" applyFill="1" applyBorder="1" applyAlignment="1" applyProtection="1">
      <alignment horizontal="center" vertical="center"/>
      <protection locked="0"/>
    </xf>
    <xf numFmtId="2" fontId="22" fillId="11" borderId="30" xfId="0" applyNumberFormat="1" applyFont="1" applyFill="1" applyBorder="1" applyAlignment="1" applyProtection="1">
      <alignment horizontal="center" vertical="center"/>
      <protection locked="0"/>
    </xf>
    <xf numFmtId="2" fontId="22" fillId="11" borderId="25" xfId="0" applyNumberFormat="1" applyFont="1" applyFill="1" applyBorder="1" applyAlignment="1" applyProtection="1">
      <alignment horizontal="center" vertical="center"/>
      <protection locked="0"/>
    </xf>
    <xf numFmtId="2" fontId="22" fillId="11" borderId="17" xfId="0" applyNumberFormat="1" applyFont="1" applyFill="1" applyBorder="1" applyAlignment="1" applyProtection="1">
      <alignment horizontal="center" vertical="center"/>
      <protection locked="0"/>
    </xf>
    <xf numFmtId="0" fontId="22" fillId="0" borderId="0" xfId="0" applyFont="1" applyAlignment="1">
      <alignment vertical="center"/>
    </xf>
    <xf numFmtId="0" fontId="27" fillId="0" borderId="0" xfId="0" applyFont="1" applyAlignment="1">
      <alignment vertical="center"/>
    </xf>
    <xf numFmtId="0" fontId="22" fillId="0" borderId="35" xfId="8" applyFont="1" applyBorder="1" applyAlignment="1" applyProtection="1">
      <alignment horizontal="center" vertical="center" wrapText="1"/>
      <protection locked="0"/>
    </xf>
    <xf numFmtId="0" fontId="22" fillId="0" borderId="42" xfId="8" applyFont="1" applyBorder="1" applyAlignment="1" applyProtection="1">
      <alignment horizontal="center" vertical="center" wrapText="1"/>
      <protection locked="0"/>
    </xf>
    <xf numFmtId="9" fontId="22" fillId="10" borderId="12" xfId="4" applyFont="1" applyFill="1" applyBorder="1" applyAlignment="1" applyProtection="1">
      <alignment horizontal="center" vertical="center"/>
    </xf>
    <xf numFmtId="2" fontId="22" fillId="10" borderId="14" xfId="0" applyNumberFormat="1" applyFont="1" applyFill="1" applyBorder="1" applyAlignment="1">
      <alignment horizontal="center" vertical="center"/>
    </xf>
    <xf numFmtId="0" fontId="22" fillId="0" borderId="15" xfId="0" applyFont="1" applyBorder="1" applyAlignment="1" applyProtection="1">
      <alignment vertical="center" wrapText="1"/>
      <protection hidden="1"/>
    </xf>
    <xf numFmtId="0" fontId="22" fillId="0" borderId="16" xfId="0" applyFont="1" applyBorder="1" applyAlignment="1" applyProtection="1">
      <alignment horizontal="left" vertical="center" wrapText="1"/>
      <protection hidden="1"/>
    </xf>
    <xf numFmtId="0" fontId="22" fillId="11" borderId="17" xfId="0" applyFont="1" applyFill="1" applyBorder="1" applyAlignment="1" applyProtection="1">
      <alignment horizontal="right" vertical="center"/>
      <protection locked="0" hidden="1"/>
    </xf>
    <xf numFmtId="0" fontId="22" fillId="0" borderId="0" xfId="0" applyFont="1" applyAlignment="1">
      <alignment vertical="center" wrapText="1"/>
    </xf>
    <xf numFmtId="0" fontId="22" fillId="0" borderId="28" xfId="0" applyFont="1" applyBorder="1" applyAlignment="1" applyProtection="1">
      <alignment horizontal="left" vertical="center" wrapText="1"/>
      <protection hidden="1"/>
    </xf>
    <xf numFmtId="0" fontId="22" fillId="0" borderId="26" xfId="0" applyFont="1" applyBorder="1" applyAlignment="1" applyProtection="1">
      <alignment horizontal="left" vertical="center" wrapText="1"/>
      <protection hidden="1"/>
    </xf>
    <xf numFmtId="0" fontId="22" fillId="11" borderId="25" xfId="0" applyFont="1" applyFill="1" applyBorder="1" applyAlignment="1" applyProtection="1">
      <alignment horizontal="right" vertical="center"/>
      <protection locked="0" hidden="1"/>
    </xf>
    <xf numFmtId="0" fontId="23" fillId="11" borderId="21" xfId="6" applyFill="1" applyBorder="1" applyAlignment="1" applyProtection="1">
      <alignment horizontal="center" vertical="center" wrapText="1"/>
      <protection locked="0"/>
    </xf>
    <xf numFmtId="0" fontId="22" fillId="0" borderId="0" xfId="0" applyFont="1" applyAlignment="1">
      <alignment horizontal="center" vertical="center"/>
    </xf>
    <xf numFmtId="0" fontId="22" fillId="11" borderId="17" xfId="0" applyFont="1" applyFill="1" applyBorder="1" applyAlignment="1" applyProtection="1">
      <alignment horizontal="center" vertical="center"/>
      <protection locked="0" hidden="1"/>
    </xf>
    <xf numFmtId="0" fontId="22" fillId="10" borderId="17" xfId="0" applyFont="1" applyFill="1" applyBorder="1" applyAlignment="1" applyProtection="1">
      <alignment horizontal="center" vertical="center"/>
      <protection hidden="1"/>
    </xf>
    <xf numFmtId="0" fontId="22" fillId="0" borderId="0" xfId="0" applyFont="1" applyAlignment="1">
      <alignment horizontal="center" vertical="center" wrapText="1"/>
    </xf>
    <xf numFmtId="0" fontId="27" fillId="0" borderId="0" xfId="0" applyFont="1" applyAlignment="1">
      <alignment horizontal="center" vertical="center"/>
    </xf>
    <xf numFmtId="0" fontId="22" fillId="4" borderId="17" xfId="0" applyFont="1" applyFill="1" applyBorder="1" applyAlignment="1" applyProtection="1">
      <alignment horizontal="center" vertical="center"/>
      <protection hidden="1"/>
    </xf>
    <xf numFmtId="0" fontId="22" fillId="11" borderId="27" xfId="0" applyFont="1" applyFill="1" applyBorder="1" applyAlignment="1" applyProtection="1">
      <alignment horizontal="center" vertical="center"/>
      <protection locked="0" hidden="1"/>
    </xf>
    <xf numFmtId="0" fontId="22" fillId="11" borderId="25" xfId="0" applyFont="1" applyFill="1" applyBorder="1" applyAlignment="1" applyProtection="1">
      <alignment horizontal="center" vertical="center"/>
      <protection locked="0" hidden="1"/>
    </xf>
    <xf numFmtId="0" fontId="22" fillId="7" borderId="1" xfId="0" applyFont="1" applyFill="1" applyBorder="1" applyAlignment="1">
      <alignment horizontal="center" vertical="center"/>
    </xf>
    <xf numFmtId="1" fontId="22" fillId="10" borderId="1" xfId="0" applyNumberFormat="1" applyFont="1" applyFill="1" applyBorder="1" applyAlignment="1" applyProtection="1">
      <alignment horizontal="center" vertical="center"/>
      <protection locked="0"/>
    </xf>
    <xf numFmtId="0" fontId="22" fillId="0" borderId="15" xfId="0" applyFont="1" applyBorder="1" applyAlignment="1" applyProtection="1">
      <alignment horizontal="left" vertical="center" wrapText="1"/>
      <protection hidden="1"/>
    </xf>
    <xf numFmtId="2" fontId="22" fillId="11" borderId="21" xfId="0" applyNumberFormat="1" applyFont="1" applyFill="1" applyBorder="1" applyAlignment="1" applyProtection="1">
      <alignment vertical="center"/>
      <protection locked="0"/>
    </xf>
    <xf numFmtId="0" fontId="26" fillId="0" borderId="0" xfId="0" applyFont="1" applyAlignment="1">
      <alignment vertical="center"/>
    </xf>
    <xf numFmtId="0" fontId="22" fillId="11" borderId="21" xfId="0" applyFont="1" applyFill="1" applyBorder="1" applyAlignment="1" applyProtection="1">
      <alignment horizontal="right" vertical="center"/>
      <protection locked="0" hidden="1"/>
    </xf>
    <xf numFmtId="0" fontId="22" fillId="0" borderId="15" xfId="0" applyFont="1" applyBorder="1" applyAlignment="1">
      <alignment vertical="center"/>
    </xf>
    <xf numFmtId="9" fontId="22" fillId="4" borderId="21" xfId="4" applyFont="1" applyFill="1" applyBorder="1" applyAlignment="1" applyProtection="1">
      <alignment vertical="center" wrapText="1"/>
    </xf>
    <xf numFmtId="0" fontId="22" fillId="0" borderId="0" xfId="0" applyFont="1" applyAlignment="1" applyProtection="1">
      <alignment vertical="center" wrapText="1"/>
      <protection locked="0"/>
    </xf>
    <xf numFmtId="0" fontId="22" fillId="0" borderId="0" xfId="0" applyFont="1" applyAlignment="1" applyProtection="1">
      <alignment horizontal="left" vertical="center" wrapText="1"/>
      <protection locked="0"/>
    </xf>
    <xf numFmtId="0" fontId="22" fillId="0" borderId="16" xfId="0" applyFont="1" applyBorder="1" applyAlignment="1">
      <alignment vertical="center"/>
    </xf>
    <xf numFmtId="2" fontId="22" fillId="4" borderId="17" xfId="0" applyNumberFormat="1" applyFont="1" applyFill="1" applyBorder="1" applyAlignment="1">
      <alignment vertical="center"/>
    </xf>
    <xf numFmtId="9" fontId="22" fillId="4" borderId="17" xfId="4" applyFont="1" applyFill="1" applyBorder="1" applyAlignment="1" applyProtection="1">
      <alignment vertical="center"/>
    </xf>
    <xf numFmtId="0" fontId="22" fillId="0" borderId="26" xfId="0" applyFont="1" applyBorder="1" applyAlignment="1">
      <alignment vertical="center"/>
    </xf>
    <xf numFmtId="2" fontId="22" fillId="4" borderId="25" xfId="0" applyNumberFormat="1" applyFont="1" applyFill="1" applyBorder="1" applyAlignment="1">
      <alignment vertical="center"/>
    </xf>
    <xf numFmtId="0" fontId="22" fillId="0" borderId="24" xfId="0" applyFont="1" applyBorder="1" applyAlignment="1">
      <alignment vertical="center" wrapText="1"/>
    </xf>
    <xf numFmtId="9" fontId="22" fillId="4" borderId="23" xfId="4" applyFont="1" applyFill="1" applyBorder="1" applyAlignment="1" applyProtection="1">
      <alignment horizontal="right" vertical="center" wrapText="1"/>
    </xf>
    <xf numFmtId="0" fontId="22" fillId="0" borderId="33" xfId="0" applyFont="1" applyBorder="1" applyAlignment="1">
      <alignment horizontal="right" vertical="center" wrapText="1"/>
    </xf>
    <xf numFmtId="2" fontId="22" fillId="4" borderId="19" xfId="0" applyNumberFormat="1" applyFont="1" applyFill="1" applyBorder="1" applyAlignment="1">
      <alignment vertical="center"/>
    </xf>
    <xf numFmtId="0" fontId="37" fillId="0" borderId="0" xfId="0" applyFont="1" applyAlignment="1">
      <alignment vertical="center" wrapText="1"/>
    </xf>
    <xf numFmtId="2" fontId="22" fillId="4" borderId="22" xfId="0" applyNumberFormat="1" applyFont="1" applyFill="1" applyBorder="1" applyAlignment="1">
      <alignment horizontal="right" vertical="center"/>
    </xf>
    <xf numFmtId="167" fontId="22" fillId="10" borderId="21" xfId="4" applyNumberFormat="1" applyFont="1" applyFill="1" applyBorder="1" applyAlignment="1" applyProtection="1">
      <alignment vertical="center"/>
    </xf>
    <xf numFmtId="0" fontId="52" fillId="0" borderId="0" xfId="0" applyFont="1" applyAlignment="1">
      <alignment vertical="center" wrapText="1"/>
    </xf>
    <xf numFmtId="164" fontId="22" fillId="10" borderId="18" xfId="0" applyNumberFormat="1" applyFont="1" applyFill="1" applyBorder="1" applyAlignment="1">
      <alignment vertical="center" wrapText="1"/>
    </xf>
    <xf numFmtId="170" fontId="22" fillId="10" borderId="18" xfId="5" applyNumberFormat="1" applyFont="1" applyFill="1" applyBorder="1" applyAlignment="1" applyProtection="1">
      <alignment vertical="center" wrapText="1"/>
    </xf>
    <xf numFmtId="167" fontId="22" fillId="10" borderId="25" xfId="4" applyNumberFormat="1" applyFont="1" applyFill="1" applyBorder="1" applyAlignment="1" applyProtection="1">
      <alignment vertical="center"/>
    </xf>
    <xf numFmtId="164" fontId="22" fillId="10" borderId="22" xfId="0" applyNumberFormat="1" applyFont="1" applyFill="1" applyBorder="1" applyAlignment="1">
      <alignment vertical="center"/>
    </xf>
    <xf numFmtId="170" fontId="22" fillId="10" borderId="22" xfId="5" applyNumberFormat="1" applyFont="1" applyFill="1" applyBorder="1" applyAlignment="1" applyProtection="1">
      <alignment vertical="center"/>
    </xf>
    <xf numFmtId="0" fontId="24" fillId="6" borderId="8" xfId="0" applyFont="1" applyFill="1" applyBorder="1" applyAlignment="1">
      <alignment vertical="center"/>
    </xf>
    <xf numFmtId="0" fontId="22" fillId="6" borderId="8" xfId="0" applyFont="1" applyFill="1" applyBorder="1" applyAlignment="1" applyProtection="1">
      <alignment vertical="center"/>
      <protection hidden="1"/>
    </xf>
    <xf numFmtId="0" fontId="23" fillId="6" borderId="8" xfId="6" applyFill="1" applyBorder="1" applyAlignment="1">
      <alignment horizontal="left" vertical="center" wrapText="1"/>
    </xf>
    <xf numFmtId="0" fontId="67" fillId="0" borderId="35" xfId="0" applyFont="1" applyBorder="1" applyAlignment="1">
      <alignment vertical="center" wrapText="1"/>
    </xf>
    <xf numFmtId="164" fontId="22" fillId="0" borderId="41" xfId="0" applyNumberFormat="1" applyFont="1" applyBorder="1" applyAlignment="1">
      <alignment vertical="center"/>
    </xf>
    <xf numFmtId="0" fontId="22" fillId="0" borderId="41" xfId="0" applyFont="1" applyBorder="1" applyAlignment="1">
      <alignment vertical="center"/>
    </xf>
    <xf numFmtId="0" fontId="22" fillId="0" borderId="41" xfId="0" applyFont="1" applyBorder="1" applyAlignment="1">
      <alignment vertical="center" wrapText="1"/>
    </xf>
    <xf numFmtId="0" fontId="22" fillId="0" borderId="59" xfId="0" applyFont="1" applyBorder="1" applyAlignment="1">
      <alignment vertical="center" wrapText="1"/>
    </xf>
    <xf numFmtId="0" fontId="51" fillId="16" borderId="42" xfId="0" applyFont="1" applyFill="1" applyBorder="1" applyAlignment="1">
      <alignment vertical="center" wrapText="1"/>
    </xf>
    <xf numFmtId="0" fontId="0" fillId="0" borderId="11" xfId="0" applyBorder="1" applyAlignment="1">
      <alignment vertical="center"/>
    </xf>
    <xf numFmtId="170" fontId="23" fillId="10" borderId="1" xfId="5" applyNumberFormat="1" applyFont="1" applyFill="1" applyBorder="1" applyAlignment="1" applyProtection="1">
      <alignment horizontal="center" vertical="center" wrapText="1"/>
    </xf>
    <xf numFmtId="43" fontId="23" fillId="10" borderId="1" xfId="5" applyFont="1" applyFill="1" applyBorder="1" applyAlignment="1" applyProtection="1">
      <alignment horizontal="center" vertical="center" wrapText="1"/>
    </xf>
    <xf numFmtId="43" fontId="22" fillId="15" borderId="1" xfId="0" applyNumberFormat="1" applyFont="1" applyFill="1" applyBorder="1" applyAlignment="1">
      <alignment horizontal="center" vertical="center" wrapText="1"/>
    </xf>
    <xf numFmtId="2" fontId="46" fillId="16" borderId="43" xfId="0" applyNumberFormat="1" applyFont="1" applyFill="1" applyBorder="1" applyAlignment="1">
      <alignment vertical="center" wrapText="1"/>
    </xf>
    <xf numFmtId="43" fontId="22" fillId="0" borderId="0" xfId="0" applyNumberFormat="1" applyFont="1" applyAlignment="1">
      <alignment vertical="center"/>
    </xf>
    <xf numFmtId="0" fontId="22" fillId="0" borderId="0" xfId="0" applyFont="1" applyAlignment="1">
      <alignment horizontal="left" vertical="center" wrapText="1"/>
    </xf>
    <xf numFmtId="0" fontId="0" fillId="0" borderId="12" xfId="0" applyBorder="1" applyAlignment="1">
      <alignment vertical="center"/>
    </xf>
    <xf numFmtId="170" fontId="23" fillId="10" borderId="30" xfId="5" applyNumberFormat="1" applyFont="1" applyFill="1" applyBorder="1" applyAlignment="1" applyProtection="1">
      <alignment horizontal="center" vertical="center" wrapText="1"/>
    </xf>
    <xf numFmtId="43" fontId="23" fillId="10" borderId="30" xfId="5" applyFont="1" applyFill="1" applyBorder="1" applyAlignment="1" applyProtection="1">
      <alignment horizontal="center" vertical="center" wrapText="1"/>
    </xf>
    <xf numFmtId="43" fontId="22" fillId="15" borderId="30" xfId="0" applyNumberFormat="1" applyFont="1" applyFill="1" applyBorder="1" applyAlignment="1">
      <alignment horizontal="center" vertical="center" wrapText="1"/>
    </xf>
    <xf numFmtId="2" fontId="46" fillId="16" borderId="14" xfId="0" applyNumberFormat="1" applyFont="1" applyFill="1" applyBorder="1" applyAlignment="1">
      <alignment vertical="center" wrapText="1"/>
    </xf>
    <xf numFmtId="0" fontId="67" fillId="0" borderId="35" xfId="0" applyFont="1" applyBorder="1" applyAlignment="1">
      <alignment vertical="center"/>
    </xf>
    <xf numFmtId="0" fontId="84" fillId="16" borderId="42" xfId="0" applyFont="1" applyFill="1" applyBorder="1" applyAlignment="1">
      <alignment vertical="center" wrapText="1"/>
    </xf>
    <xf numFmtId="0" fontId="22" fillId="0" borderId="35" xfId="0" quotePrefix="1" applyFont="1" applyBorder="1" applyAlignment="1">
      <alignment vertical="center" wrapText="1"/>
    </xf>
    <xf numFmtId="0" fontId="67" fillId="0" borderId="59" xfId="0" applyFont="1" applyBorder="1" applyAlignment="1">
      <alignment vertical="center" wrapText="1"/>
    </xf>
    <xf numFmtId="0" fontId="83" fillId="0" borderId="0" xfId="0" applyFont="1" applyAlignment="1">
      <alignment horizontal="right" vertical="center" wrapText="1"/>
    </xf>
    <xf numFmtId="2" fontId="23" fillId="10" borderId="1" xfId="5" applyNumberFormat="1" applyFont="1" applyFill="1" applyBorder="1" applyAlignment="1" applyProtection="1">
      <alignment horizontal="right" vertical="center" wrapText="1"/>
    </xf>
    <xf numFmtId="2" fontId="22" fillId="15" borderId="1" xfId="0" applyNumberFormat="1" applyFont="1" applyFill="1" applyBorder="1" applyAlignment="1">
      <alignment horizontal="right" vertical="center" wrapText="1"/>
    </xf>
    <xf numFmtId="43" fontId="83" fillId="0" borderId="0" xfId="0" applyNumberFormat="1" applyFont="1" applyAlignment="1">
      <alignment horizontal="right" vertical="center"/>
    </xf>
    <xf numFmtId="2" fontId="83" fillId="0" borderId="0" xfId="0" applyNumberFormat="1" applyFont="1" applyAlignment="1">
      <alignment horizontal="right" vertical="center"/>
    </xf>
    <xf numFmtId="2" fontId="23" fillId="10" borderId="30" xfId="5" applyNumberFormat="1" applyFont="1" applyFill="1" applyBorder="1" applyAlignment="1" applyProtection="1">
      <alignment horizontal="right" vertical="center" wrapText="1"/>
    </xf>
    <xf numFmtId="2" fontId="30" fillId="8" borderId="1" xfId="6" applyNumberFormat="1" applyFont="1" applyFill="1" applyBorder="1" applyAlignment="1" applyProtection="1">
      <alignment horizontal="center" vertical="center" wrapText="1"/>
      <protection locked="0"/>
    </xf>
    <xf numFmtId="9" fontId="30" fillId="8" borderId="1" xfId="4" applyFont="1" applyFill="1" applyBorder="1" applyAlignment="1" applyProtection="1">
      <alignment horizontal="center" vertical="center" wrapText="1"/>
      <protection locked="0"/>
    </xf>
    <xf numFmtId="2" fontId="30" fillId="8" borderId="1" xfId="4" applyNumberFormat="1" applyFont="1" applyFill="1" applyBorder="1" applyAlignment="1" applyProtection="1">
      <alignment horizontal="center" vertical="center" wrapText="1"/>
      <protection locked="0"/>
    </xf>
    <xf numFmtId="0" fontId="30" fillId="0" borderId="37" xfId="6" applyFont="1" applyBorder="1" applyAlignment="1">
      <alignment horizontal="left" vertical="center" wrapText="1"/>
    </xf>
    <xf numFmtId="0" fontId="30" fillId="0" borderId="1" xfId="6" applyFont="1" applyBorder="1" applyAlignment="1">
      <alignment horizontal="left" vertical="center" wrapText="1"/>
    </xf>
    <xf numFmtId="0" fontId="52" fillId="0" borderId="0" xfId="3" applyFont="1" applyAlignment="1">
      <alignment vertical="center" wrapText="1"/>
    </xf>
    <xf numFmtId="0" fontId="52" fillId="0" borderId="37" xfId="0" applyFont="1" applyBorder="1" applyAlignment="1">
      <alignment vertical="center"/>
    </xf>
    <xf numFmtId="10" fontId="52" fillId="10" borderId="37" xfId="4" applyNumberFormat="1" applyFont="1" applyFill="1" applyBorder="1" applyAlignment="1" applyProtection="1">
      <alignment horizontal="center" vertical="center" wrapText="1"/>
    </xf>
    <xf numFmtId="2" fontId="52" fillId="0" borderId="0" xfId="0" applyNumberFormat="1" applyFont="1" applyAlignment="1">
      <alignment horizontal="center" vertical="center" wrapText="1"/>
    </xf>
    <xf numFmtId="2" fontId="52" fillId="10" borderId="1" xfId="0" applyNumberFormat="1" applyFont="1" applyFill="1" applyBorder="1" applyAlignment="1">
      <alignment horizontal="center" vertical="center" wrapText="1"/>
    </xf>
    <xf numFmtId="10" fontId="52" fillId="10" borderId="1" xfId="4" applyNumberFormat="1" applyFont="1" applyFill="1" applyBorder="1" applyAlignment="1" applyProtection="1">
      <alignment horizontal="center" vertical="center" wrapText="1"/>
    </xf>
    <xf numFmtId="167" fontId="52" fillId="10" borderId="1" xfId="4" applyNumberFormat="1" applyFont="1" applyFill="1" applyBorder="1" applyAlignment="1" applyProtection="1">
      <alignment horizontal="center" vertical="center" wrapText="1"/>
    </xf>
    <xf numFmtId="0" fontId="52" fillId="0" borderId="38" xfId="0" applyFont="1" applyBorder="1" applyAlignment="1">
      <alignment vertical="center"/>
    </xf>
    <xf numFmtId="0" fontId="52" fillId="0" borderId="67" xfId="0" applyFont="1" applyBorder="1" applyAlignment="1">
      <alignment vertical="center"/>
    </xf>
    <xf numFmtId="169" fontId="61" fillId="10" borderId="1" xfId="4" applyNumberFormat="1" applyFont="1" applyFill="1" applyBorder="1" applyAlignment="1" applyProtection="1">
      <alignment horizontal="left" vertical="center" wrapText="1"/>
    </xf>
    <xf numFmtId="2" fontId="99" fillId="13" borderId="8" xfId="0" applyNumberFormat="1" applyFont="1" applyFill="1" applyBorder="1" applyAlignment="1">
      <alignment vertical="center" wrapText="1"/>
    </xf>
    <xf numFmtId="173" fontId="98" fillId="10" borderId="1" xfId="5" applyNumberFormat="1" applyFont="1" applyFill="1" applyBorder="1" applyAlignment="1" applyProtection="1">
      <alignment horizontal="center" wrapText="1"/>
    </xf>
    <xf numFmtId="10" fontId="64" fillId="0" borderId="0" xfId="4" applyNumberFormat="1" applyFont="1" applyFill="1" applyAlignment="1" applyProtection="1">
      <alignment horizontal="left"/>
    </xf>
    <xf numFmtId="2" fontId="98" fillId="10" borderId="1" xfId="5" applyNumberFormat="1" applyFont="1" applyFill="1" applyBorder="1" applyAlignment="1" applyProtection="1">
      <alignment horizontal="center" wrapText="1"/>
    </xf>
    <xf numFmtId="0" fontId="98" fillId="10" borderId="1" xfId="4" applyNumberFormat="1" applyFont="1" applyFill="1" applyBorder="1" applyAlignment="1" applyProtection="1">
      <alignment horizontal="center" wrapText="1"/>
    </xf>
    <xf numFmtId="2" fontId="65" fillId="0" borderId="0" xfId="0" applyNumberFormat="1" applyFont="1"/>
    <xf numFmtId="1" fontId="52" fillId="10" borderId="1" xfId="4" applyNumberFormat="1" applyFont="1" applyFill="1" applyBorder="1" applyAlignment="1" applyProtection="1">
      <alignment horizontal="center" vertical="center" wrapText="1"/>
    </xf>
    <xf numFmtId="2" fontId="100" fillId="10" borderId="1" xfId="0" applyNumberFormat="1" applyFont="1" applyFill="1" applyBorder="1" applyAlignment="1">
      <alignment horizontal="center" vertical="center" wrapText="1"/>
    </xf>
    <xf numFmtId="0" fontId="101" fillId="0" borderId="0" xfId="0" applyFont="1" applyAlignment="1">
      <alignment horizontal="left" vertical="top"/>
    </xf>
    <xf numFmtId="0" fontId="15" fillId="0" borderId="0" xfId="0" applyFont="1" applyProtection="1">
      <protection locked="0"/>
    </xf>
    <xf numFmtId="2" fontId="30" fillId="8" borderId="37" xfId="6" applyNumberFormat="1" applyFont="1" applyFill="1" applyBorder="1" applyAlignment="1" applyProtection="1">
      <alignment horizontal="center" vertical="center" wrapText="1"/>
      <protection locked="0"/>
    </xf>
    <xf numFmtId="1" fontId="30" fillId="8" borderId="38" xfId="6" applyNumberFormat="1" applyFont="1" applyFill="1" applyBorder="1" applyAlignment="1" applyProtection="1">
      <alignment horizontal="center" vertical="center" wrapText="1"/>
      <protection locked="0"/>
    </xf>
    <xf numFmtId="0" fontId="34" fillId="9" borderId="9" xfId="0" applyFont="1" applyFill="1" applyBorder="1"/>
    <xf numFmtId="0" fontId="3" fillId="9" borderId="0" xfId="0" applyFont="1" applyFill="1"/>
    <xf numFmtId="0" fontId="5" fillId="9" borderId="0" xfId="0" applyFont="1" applyFill="1"/>
    <xf numFmtId="0" fontId="7" fillId="9" borderId="45" xfId="0" applyFont="1" applyFill="1" applyBorder="1" applyAlignment="1">
      <alignment wrapText="1"/>
    </xf>
    <xf numFmtId="9" fontId="3" fillId="9" borderId="0" xfId="0" applyNumberFormat="1" applyFont="1" applyFill="1"/>
    <xf numFmtId="0" fontId="3" fillId="9" borderId="0" xfId="0" applyFont="1" applyFill="1" applyAlignment="1">
      <alignment wrapText="1"/>
    </xf>
    <xf numFmtId="0" fontId="3" fillId="9" borderId="45" xfId="0" applyFont="1" applyFill="1" applyBorder="1"/>
    <xf numFmtId="0" fontId="3" fillId="9" borderId="45" xfId="0" applyFont="1" applyFill="1" applyBorder="1" applyAlignment="1">
      <alignment wrapText="1"/>
    </xf>
    <xf numFmtId="2" fontId="3" fillId="9" borderId="0" xfId="0" applyNumberFormat="1" applyFont="1" applyFill="1"/>
    <xf numFmtId="1" fontId="0" fillId="9" borderId="0" xfId="0" applyNumberFormat="1" applyFill="1" applyAlignment="1">
      <alignment horizontal="center" wrapText="1"/>
    </xf>
    <xf numFmtId="165" fontId="0" fillId="9" borderId="0" xfId="0" applyNumberFormat="1" applyFill="1"/>
    <xf numFmtId="0" fontId="33"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lignment wrapText="1"/>
    </xf>
    <xf numFmtId="0" fontId="20" fillId="9" borderId="0" xfId="0" applyFont="1" applyFill="1"/>
    <xf numFmtId="1" fontId="20" fillId="9" borderId="0" xfId="0" applyNumberFormat="1" applyFont="1" applyFill="1" applyAlignment="1">
      <alignment horizontal="center" wrapText="1"/>
    </xf>
    <xf numFmtId="165" fontId="20" fillId="9" borderId="0" xfId="0" applyNumberFormat="1" applyFont="1" applyFill="1"/>
    <xf numFmtId="0" fontId="20" fillId="9" borderId="0" xfId="0" applyFont="1" applyFill="1" applyAlignment="1">
      <alignment horizontal="center" vertical="center" wrapText="1"/>
    </xf>
    <xf numFmtId="164" fontId="20" fillId="9" borderId="0" xfId="0" applyNumberFormat="1" applyFont="1" applyFill="1"/>
    <xf numFmtId="2" fontId="20" fillId="9" borderId="0" xfId="0" applyNumberFormat="1" applyFont="1" applyFill="1"/>
    <xf numFmtId="164" fontId="20" fillId="9" borderId="0" xfId="0" applyNumberFormat="1" applyFont="1" applyFill="1" applyAlignment="1">
      <alignment wrapText="1"/>
    </xf>
    <xf numFmtId="0" fontId="3" fillId="9" borderId="52" xfId="0" applyFont="1" applyFill="1" applyBorder="1"/>
    <xf numFmtId="0" fontId="12" fillId="9" borderId="52" xfId="0" applyFont="1" applyFill="1" applyBorder="1"/>
    <xf numFmtId="1" fontId="0" fillId="9" borderId="2" xfId="0" applyNumberFormat="1" applyFill="1" applyBorder="1"/>
    <xf numFmtId="1" fontId="0" fillId="9" borderId="53" xfId="0" applyNumberFormat="1" applyFill="1" applyBorder="1"/>
    <xf numFmtId="0" fontId="12" fillId="9" borderId="45" xfId="0" applyFont="1" applyFill="1" applyBorder="1"/>
    <xf numFmtId="1" fontId="0" fillId="9" borderId="0" xfId="0" applyNumberFormat="1" applyFill="1"/>
    <xf numFmtId="1" fontId="0" fillId="9" borderId="44" xfId="0" applyNumberFormat="1" applyFill="1" applyBorder="1"/>
    <xf numFmtId="0" fontId="3" fillId="9" borderId="55" xfId="0" applyFont="1" applyFill="1" applyBorder="1"/>
    <xf numFmtId="1" fontId="0" fillId="9" borderId="3" xfId="0" applyNumberFormat="1" applyFill="1" applyBorder="1"/>
    <xf numFmtId="1" fontId="0" fillId="9" borderId="56" xfId="0" applyNumberFormat="1" applyFill="1" applyBorder="1"/>
    <xf numFmtId="2" fontId="0" fillId="9" borderId="2" xfId="0" applyNumberFormat="1" applyFill="1" applyBorder="1"/>
    <xf numFmtId="2" fontId="0" fillId="9" borderId="53" xfId="0" applyNumberFormat="1" applyFill="1" applyBorder="1"/>
    <xf numFmtId="2" fontId="0" fillId="9" borderId="44" xfId="0" applyNumberFormat="1" applyFill="1" applyBorder="1"/>
    <xf numFmtId="2" fontId="0" fillId="9" borderId="3" xfId="0" applyNumberFormat="1" applyFill="1" applyBorder="1"/>
    <xf numFmtId="2" fontId="0" fillId="9" borderId="56" xfId="0" applyNumberFormat="1" applyFill="1" applyBorder="1"/>
    <xf numFmtId="0" fontId="54" fillId="9" borderId="0" xfId="0" applyFont="1" applyFill="1" applyAlignment="1">
      <alignment horizontal="center"/>
    </xf>
    <xf numFmtId="0" fontId="0" fillId="9" borderId="68" xfId="0" applyFill="1" applyBorder="1"/>
    <xf numFmtId="0" fontId="0" fillId="0" borderId="69" xfId="0" applyBorder="1"/>
    <xf numFmtId="0" fontId="54" fillId="9" borderId="0" xfId="0" applyFont="1" applyFill="1"/>
    <xf numFmtId="0" fontId="0" fillId="9" borderId="70" xfId="0" applyFill="1" applyBorder="1"/>
    <xf numFmtId="0" fontId="0" fillId="0" borderId="71" xfId="0" applyBorder="1"/>
    <xf numFmtId="0" fontId="0" fillId="9" borderId="72" xfId="0" applyFill="1" applyBorder="1"/>
    <xf numFmtId="0" fontId="0" fillId="9" borderId="73" xfId="0" applyFill="1" applyBorder="1"/>
    <xf numFmtId="0" fontId="3" fillId="9" borderId="33" xfId="0" applyFont="1" applyFill="1" applyBorder="1" applyAlignment="1">
      <alignment horizontal="center"/>
    </xf>
    <xf numFmtId="0" fontId="0" fillId="9" borderId="20" xfId="0" applyFill="1" applyBorder="1" applyAlignment="1">
      <alignment horizontal="center"/>
    </xf>
    <xf numFmtId="164" fontId="3" fillId="9" borderId="0" xfId="0" applyNumberFormat="1" applyFont="1" applyFill="1"/>
    <xf numFmtId="0" fontId="3" fillId="9" borderId="57" xfId="0" applyFont="1" applyFill="1" applyBorder="1" applyAlignment="1">
      <alignment wrapText="1"/>
    </xf>
    <xf numFmtId="0" fontId="3" fillId="9" borderId="33" xfId="0" applyFont="1" applyFill="1" applyBorder="1" applyAlignment="1">
      <alignment horizontal="center" wrapText="1"/>
    </xf>
    <xf numFmtId="0" fontId="0" fillId="9" borderId="45" xfId="0" applyFill="1" applyBorder="1"/>
    <xf numFmtId="0" fontId="0" fillId="9" borderId="20" xfId="0" applyFill="1" applyBorder="1" applyAlignment="1">
      <alignment horizontal="center" wrapText="1"/>
    </xf>
    <xf numFmtId="166" fontId="5" fillId="9" borderId="1" xfId="0" applyNumberFormat="1" applyFont="1" applyFill="1" applyBorder="1"/>
    <xf numFmtId="0" fontId="40" fillId="9" borderId="0" xfId="0" applyFont="1" applyFill="1"/>
    <xf numFmtId="0" fontId="40" fillId="9" borderId="0" xfId="0" applyFont="1" applyFill="1" applyAlignment="1">
      <alignment wrapText="1"/>
    </xf>
    <xf numFmtId="166" fontId="3" fillId="9" borderId="1" xfId="0" applyNumberFormat="1" applyFont="1" applyFill="1" applyBorder="1"/>
    <xf numFmtId="167" fontId="0" fillId="0" borderId="0" xfId="4" applyNumberFormat="1" applyFont="1" applyProtection="1"/>
    <xf numFmtId="0" fontId="0" fillId="0" borderId="1" xfId="0" applyBorder="1"/>
    <xf numFmtId="9" fontId="0" fillId="9" borderId="0" xfId="4" applyFont="1" applyFill="1" applyProtection="1"/>
    <xf numFmtId="10" fontId="0" fillId="20" borderId="0" xfId="4" applyNumberFormat="1" applyFont="1" applyFill="1" applyProtection="1"/>
    <xf numFmtId="1" fontId="5" fillId="19" borderId="1" xfId="0" applyNumberFormat="1" applyFont="1" applyFill="1" applyBorder="1" applyAlignment="1">
      <alignment horizontal="center" vertical="center"/>
    </xf>
    <xf numFmtId="164" fontId="5" fillId="19" borderId="1" xfId="0" applyNumberFormat="1" applyFont="1" applyFill="1" applyBorder="1" applyAlignment="1">
      <alignment horizontal="center" vertical="center"/>
    </xf>
    <xf numFmtId="9" fontId="5" fillId="19" borderId="1" xfId="4" applyFont="1" applyFill="1" applyBorder="1" applyAlignment="1" applyProtection="1">
      <alignment horizontal="center" vertical="center"/>
    </xf>
    <xf numFmtId="0" fontId="5" fillId="19" borderId="1" xfId="5" applyNumberFormat="1" applyFont="1" applyFill="1" applyBorder="1" applyAlignment="1" applyProtection="1">
      <alignment horizontal="center" vertical="center"/>
    </xf>
    <xf numFmtId="1" fontId="5" fillId="19" borderId="1" xfId="0" applyNumberFormat="1" applyFont="1" applyFill="1" applyBorder="1" applyAlignment="1">
      <alignment horizontal="center" vertical="center" wrapText="1"/>
    </xf>
    <xf numFmtId="1" fontId="5" fillId="19" borderId="38" xfId="0" applyNumberFormat="1" applyFont="1" applyFill="1" applyBorder="1" applyAlignment="1">
      <alignment horizontal="center" vertical="center"/>
    </xf>
    <xf numFmtId="0" fontId="0" fillId="10" borderId="38" xfId="0" applyFill="1" applyBorder="1" applyAlignment="1">
      <alignment horizontal="center" vertical="center"/>
    </xf>
    <xf numFmtId="0" fontId="62" fillId="10" borderId="38" xfId="0" applyFont="1" applyFill="1" applyBorder="1" applyAlignment="1">
      <alignment horizontal="center" vertical="center"/>
    </xf>
    <xf numFmtId="0" fontId="3" fillId="10" borderId="38" xfId="0" applyFont="1" applyFill="1" applyBorder="1" applyAlignment="1">
      <alignment horizontal="center" vertical="center"/>
    </xf>
    <xf numFmtId="0" fontId="0" fillId="9" borderId="75" xfId="0" applyFill="1" applyBorder="1"/>
    <xf numFmtId="0" fontId="5" fillId="9" borderId="76" xfId="0" applyFont="1" applyFill="1" applyBorder="1" applyAlignment="1">
      <alignment horizontal="right"/>
    </xf>
    <xf numFmtId="0" fontId="25" fillId="0" borderId="15" xfId="0" applyFont="1" applyBorder="1" applyAlignment="1">
      <alignment horizontal="center" wrapText="1"/>
    </xf>
    <xf numFmtId="0" fontId="25" fillId="0" borderId="10" xfId="0" applyFont="1" applyBorder="1" applyAlignment="1">
      <alignment horizontal="center" wrapText="1"/>
    </xf>
    <xf numFmtId="0" fontId="25" fillId="0" borderId="21" xfId="0" applyFont="1" applyBorder="1" applyAlignment="1">
      <alignment horizontal="center" wrapText="1"/>
    </xf>
    <xf numFmtId="0" fontId="25" fillId="0" borderId="65" xfId="0" applyFont="1" applyBorder="1" applyAlignment="1">
      <alignment horizontal="center" wrapText="1"/>
    </xf>
    <xf numFmtId="0" fontId="0" fillId="9" borderId="77" xfId="0" applyFill="1" applyBorder="1"/>
    <xf numFmtId="0" fontId="5" fillId="9" borderId="78" xfId="0" applyFont="1" applyFill="1" applyBorder="1" applyAlignment="1">
      <alignment horizontal="right"/>
    </xf>
    <xf numFmtId="0" fontId="25" fillId="0" borderId="16" xfId="0" applyFont="1" applyBorder="1" applyAlignment="1">
      <alignment horizontal="center" wrapText="1"/>
    </xf>
    <xf numFmtId="0" fontId="25" fillId="0" borderId="1" xfId="0" applyFont="1" applyBorder="1" applyAlignment="1">
      <alignment horizontal="center" wrapText="1"/>
    </xf>
    <xf numFmtId="0" fontId="25" fillId="0" borderId="17" xfId="0" applyFont="1" applyBorder="1" applyAlignment="1">
      <alignment horizontal="center" wrapText="1"/>
    </xf>
    <xf numFmtId="0" fontId="25" fillId="0" borderId="4" xfId="0" applyFont="1" applyBorder="1" applyAlignment="1">
      <alignment horizontal="center" wrapText="1"/>
    </xf>
    <xf numFmtId="0" fontId="5" fillId="9" borderId="77" xfId="0" applyFont="1" applyFill="1" applyBorder="1" applyAlignment="1">
      <alignment horizontal="right"/>
    </xf>
    <xf numFmtId="0" fontId="25" fillId="0" borderId="28" xfId="0" applyFont="1" applyBorder="1" applyAlignment="1">
      <alignment horizontal="center" wrapText="1"/>
    </xf>
    <xf numFmtId="0" fontId="25" fillId="0" borderId="38" xfId="0" applyFont="1" applyBorder="1" applyAlignment="1">
      <alignment horizontal="center" wrapText="1"/>
    </xf>
    <xf numFmtId="0" fontId="25" fillId="0" borderId="27" xfId="0" applyFont="1" applyBorder="1" applyAlignment="1">
      <alignment horizontal="center" wrapText="1"/>
    </xf>
    <xf numFmtId="0" fontId="25" fillId="0" borderId="74" xfId="0" applyFont="1" applyBorder="1" applyAlignment="1">
      <alignment horizontal="center" wrapText="1"/>
    </xf>
    <xf numFmtId="0" fontId="0" fillId="9" borderId="77" xfId="0" applyFill="1" applyBorder="1" applyAlignment="1">
      <alignment horizontal="right"/>
    </xf>
    <xf numFmtId="0" fontId="5" fillId="9" borderId="78" xfId="0" applyFont="1" applyFill="1" applyBorder="1" applyAlignment="1">
      <alignment horizontal="center"/>
    </xf>
    <xf numFmtId="0" fontId="0" fillId="10" borderId="15" xfId="0" applyFill="1" applyBorder="1" applyAlignment="1">
      <alignment horizontal="center"/>
    </xf>
    <xf numFmtId="0" fontId="0" fillId="10" borderId="10" xfId="0" applyFill="1" applyBorder="1" applyAlignment="1">
      <alignment horizontal="center"/>
    </xf>
    <xf numFmtId="0" fontId="0" fillId="10" borderId="21" xfId="0" applyFill="1" applyBorder="1" applyAlignment="1">
      <alignment horizontal="center"/>
    </xf>
    <xf numFmtId="2" fontId="0" fillId="24" borderId="15" xfId="0" applyNumberFormat="1" applyFill="1" applyBorder="1" applyAlignment="1">
      <alignment horizontal="center"/>
    </xf>
    <xf numFmtId="2" fontId="0" fillId="24" borderId="10" xfId="0" applyNumberFormat="1" applyFill="1" applyBorder="1" applyAlignment="1">
      <alignment horizontal="center"/>
    </xf>
    <xf numFmtId="2" fontId="0" fillId="24" borderId="21" xfId="0" applyNumberFormat="1" applyFill="1" applyBorder="1" applyAlignment="1">
      <alignment horizontal="center"/>
    </xf>
    <xf numFmtId="0" fontId="0" fillId="10" borderId="65" xfId="0" applyFill="1" applyBorder="1" applyAlignment="1">
      <alignment horizontal="center"/>
    </xf>
    <xf numFmtId="0" fontId="0" fillId="23" borderId="15" xfId="0" applyFill="1" applyBorder="1" applyAlignment="1">
      <alignment horizontal="center"/>
    </xf>
    <xf numFmtId="0" fontId="0" fillId="23" borderId="10" xfId="0" applyFill="1" applyBorder="1" applyAlignment="1">
      <alignment horizontal="center"/>
    </xf>
    <xf numFmtId="0" fontId="0" fillId="23" borderId="65" xfId="0" applyFill="1" applyBorder="1" applyAlignment="1">
      <alignment horizontal="center"/>
    </xf>
    <xf numFmtId="0" fontId="0" fillId="23" borderId="21" xfId="0" applyFill="1" applyBorder="1" applyAlignment="1">
      <alignment horizontal="center"/>
    </xf>
    <xf numFmtId="0" fontId="0" fillId="10" borderId="16" xfId="0" applyFill="1" applyBorder="1" applyAlignment="1">
      <alignment horizontal="center"/>
    </xf>
    <xf numFmtId="0" fontId="0" fillId="10" borderId="1" xfId="0" applyFill="1" applyBorder="1" applyAlignment="1">
      <alignment horizontal="center"/>
    </xf>
    <xf numFmtId="0" fontId="0" fillId="10" borderId="17" xfId="0" applyFill="1" applyBorder="1" applyAlignment="1">
      <alignment horizontal="center"/>
    </xf>
    <xf numFmtId="2" fontId="0" fillId="24" borderId="16" xfId="0" applyNumberFormat="1" applyFill="1" applyBorder="1" applyAlignment="1">
      <alignment horizontal="center"/>
    </xf>
    <xf numFmtId="2" fontId="0" fillId="24" borderId="1" xfId="0" applyNumberFormat="1" applyFill="1" applyBorder="1" applyAlignment="1">
      <alignment horizontal="center"/>
    </xf>
    <xf numFmtId="2" fontId="0" fillId="24" borderId="17" xfId="0" applyNumberFormat="1" applyFill="1" applyBorder="1" applyAlignment="1">
      <alignment horizontal="center"/>
    </xf>
    <xf numFmtId="0" fontId="0" fillId="10" borderId="4" xfId="0" applyFill="1" applyBorder="1" applyAlignment="1">
      <alignment horizontal="center"/>
    </xf>
    <xf numFmtId="0" fontId="0" fillId="23" borderId="16" xfId="0" applyFill="1" applyBorder="1" applyAlignment="1">
      <alignment horizontal="center"/>
    </xf>
    <xf numFmtId="0" fontId="0" fillId="23" borderId="1" xfId="0" applyFill="1" applyBorder="1" applyAlignment="1">
      <alignment horizontal="center"/>
    </xf>
    <xf numFmtId="0" fontId="0" fillId="23" borderId="4" xfId="0" applyFill="1" applyBorder="1" applyAlignment="1">
      <alignment horizontal="center"/>
    </xf>
    <xf numFmtId="0" fontId="0" fillId="23" borderId="17" xfId="0" applyFill="1" applyBorder="1" applyAlignment="1">
      <alignment horizontal="center"/>
    </xf>
    <xf numFmtId="0" fontId="0" fillId="10" borderId="26" xfId="0" applyFill="1" applyBorder="1" applyAlignment="1">
      <alignment horizontal="center"/>
    </xf>
    <xf numFmtId="0" fontId="0" fillId="10" borderId="30" xfId="0" applyFill="1" applyBorder="1" applyAlignment="1">
      <alignment horizontal="center"/>
    </xf>
    <xf numFmtId="0" fontId="0" fillId="10" borderId="25" xfId="0" applyFill="1" applyBorder="1" applyAlignment="1">
      <alignment horizontal="center"/>
    </xf>
    <xf numFmtId="2" fontId="0" fillId="24" borderId="26" xfId="0" applyNumberFormat="1" applyFill="1" applyBorder="1" applyAlignment="1">
      <alignment horizontal="center"/>
    </xf>
    <xf numFmtId="2" fontId="0" fillId="24" borderId="30" xfId="0" applyNumberFormat="1" applyFill="1" applyBorder="1" applyAlignment="1">
      <alignment horizontal="center"/>
    </xf>
    <xf numFmtId="2" fontId="0" fillId="24" borderId="25" xfId="0" applyNumberFormat="1" applyFill="1" applyBorder="1" applyAlignment="1">
      <alignment horizontal="center"/>
    </xf>
    <xf numFmtId="0" fontId="0" fillId="10" borderId="66" xfId="0" applyFill="1" applyBorder="1" applyAlignment="1">
      <alignment horizontal="center"/>
    </xf>
    <xf numFmtId="0" fontId="0" fillId="23" borderId="26" xfId="0" applyFill="1" applyBorder="1" applyAlignment="1">
      <alignment horizontal="center"/>
    </xf>
    <xf numFmtId="0" fontId="0" fillId="23" borderId="30" xfId="0" applyFill="1" applyBorder="1" applyAlignment="1">
      <alignment horizontal="center"/>
    </xf>
    <xf numFmtId="0" fontId="0" fillId="23" borderId="66" xfId="0" applyFill="1" applyBorder="1" applyAlignment="1">
      <alignment horizontal="center"/>
    </xf>
    <xf numFmtId="0" fontId="0" fillId="23" borderId="25" xfId="0" applyFill="1" applyBorder="1" applyAlignment="1">
      <alignment horizontal="center"/>
    </xf>
    <xf numFmtId="0" fontId="0" fillId="9" borderId="79" xfId="0" applyFill="1" applyBorder="1" applyAlignment="1">
      <alignment horizontal="right"/>
    </xf>
    <xf numFmtId="0" fontId="5" fillId="9" borderId="80" xfId="0" applyFont="1" applyFill="1" applyBorder="1" applyAlignment="1">
      <alignment horizontal="center"/>
    </xf>
    <xf numFmtId="0" fontId="1" fillId="0" borderId="0" xfId="10" applyFont="1"/>
    <xf numFmtId="0" fontId="1" fillId="19" borderId="0" xfId="10" applyFont="1" applyFill="1"/>
    <xf numFmtId="17" fontId="15" fillId="0" borderId="0" xfId="0" applyNumberFormat="1" applyFont="1"/>
    <xf numFmtId="2" fontId="23" fillId="10" borderId="4" xfId="5" applyNumberFormat="1" applyFont="1" applyFill="1" applyBorder="1" applyAlignment="1" applyProtection="1">
      <alignment horizontal="right" vertical="center" wrapText="1"/>
    </xf>
    <xf numFmtId="2" fontId="23" fillId="10" borderId="6" xfId="5" applyNumberFormat="1" applyFont="1" applyFill="1" applyBorder="1" applyAlignment="1" applyProtection="1">
      <alignment horizontal="right" vertical="center" wrapText="1"/>
    </xf>
    <xf numFmtId="2" fontId="23" fillId="10" borderId="38" xfId="5" applyNumberFormat="1" applyFont="1" applyFill="1" applyBorder="1" applyAlignment="1" applyProtection="1">
      <alignment horizontal="right" vertical="center" wrapText="1"/>
    </xf>
    <xf numFmtId="17"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2" fontId="22" fillId="15" borderId="4" xfId="0" applyNumberFormat="1" applyFont="1" applyFill="1" applyBorder="1" applyAlignment="1">
      <alignment horizontal="right" vertical="center" wrapText="1"/>
    </xf>
    <xf numFmtId="17" fontId="0" fillId="0" borderId="0" xfId="0" applyNumberFormat="1" applyAlignment="1">
      <alignment horizontal="left"/>
    </xf>
    <xf numFmtId="17" fontId="50" fillId="0" borderId="0" xfId="0" quotePrefix="1" applyNumberFormat="1" applyFont="1" applyAlignment="1">
      <alignment horizontal="center"/>
    </xf>
    <xf numFmtId="43" fontId="83" fillId="0" borderId="47" xfId="0" applyNumberFormat="1" applyFont="1" applyBorder="1" applyAlignment="1">
      <alignment horizontal="right" vertical="center"/>
    </xf>
    <xf numFmtId="0" fontId="15" fillId="0" borderId="35" xfId="0" applyFont="1" applyBorder="1" applyAlignment="1">
      <alignment horizontal="left" vertical="top"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43"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wrapText="1"/>
    </xf>
    <xf numFmtId="0" fontId="11" fillId="0" borderId="0" xfId="0" applyFont="1" applyAlignment="1">
      <alignment horizontal="center" vertical="top"/>
    </xf>
    <xf numFmtId="0" fontId="11" fillId="7" borderId="0" xfId="0" applyFont="1" applyFill="1" applyAlignment="1">
      <alignment horizontal="center" vertical="top"/>
    </xf>
    <xf numFmtId="0" fontId="11" fillId="4" borderId="0" xfId="0" applyFont="1" applyFill="1" applyAlignment="1">
      <alignment horizontal="center" vertical="top"/>
    </xf>
    <xf numFmtId="0" fontId="11" fillId="5" borderId="0" xfId="0" applyFont="1" applyFill="1" applyAlignment="1" applyProtection="1">
      <alignment horizontal="center" vertical="top"/>
      <protection locked="0"/>
    </xf>
    <xf numFmtId="0" fontId="11" fillId="0" borderId="1" xfId="0" applyFont="1" applyBorder="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top" wrapText="1"/>
    </xf>
    <xf numFmtId="0" fontId="0" fillId="0" borderId="1" xfId="0" applyBorder="1" applyAlignment="1">
      <alignment wrapText="1"/>
    </xf>
    <xf numFmtId="0" fontId="0" fillId="0" borderId="1" xfId="0" applyBorder="1" applyAlignment="1">
      <alignment vertical="top" wrapText="1"/>
    </xf>
    <xf numFmtId="0" fontId="58" fillId="6" borderId="7" xfId="0" applyFont="1" applyFill="1" applyBorder="1" applyAlignment="1">
      <alignment horizontal="left" wrapText="1"/>
    </xf>
    <xf numFmtId="0" fontId="58" fillId="6" borderId="8" xfId="0" applyFont="1" applyFill="1" applyBorder="1" applyAlignment="1">
      <alignment horizontal="left"/>
    </xf>
    <xf numFmtId="0" fontId="58" fillId="6" borderId="58" xfId="0" applyFont="1" applyFill="1" applyBorder="1" applyAlignment="1">
      <alignment horizontal="left"/>
    </xf>
    <xf numFmtId="169" fontId="61" fillId="10" borderId="1" xfId="4" applyNumberFormat="1" applyFont="1" applyFill="1" applyBorder="1" applyAlignment="1" applyProtection="1">
      <alignment horizontal="left" vertical="center" wrapText="1"/>
    </xf>
    <xf numFmtId="0" fontId="22" fillId="0" borderId="0" xfId="0" applyFont="1" applyAlignment="1">
      <alignment horizontal="left"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76" fillId="9" borderId="7" xfId="0" applyFont="1" applyFill="1" applyBorder="1" applyAlignment="1">
      <alignment horizontal="left"/>
    </xf>
    <xf numFmtId="0" fontId="76" fillId="9" borderId="8" xfId="0" applyFont="1" applyFill="1" applyBorder="1" applyAlignment="1">
      <alignment horizontal="left"/>
    </xf>
    <xf numFmtId="0" fontId="76" fillId="9" borderId="58" xfId="0" applyFont="1" applyFill="1" applyBorder="1" applyAlignment="1">
      <alignment horizontal="left"/>
    </xf>
    <xf numFmtId="0" fontId="22" fillId="0" borderId="0" xfId="0" applyFont="1" applyAlignment="1">
      <alignment horizontal="center" wrapText="1"/>
    </xf>
    <xf numFmtId="0" fontId="28" fillId="0" borderId="4" xfId="0" applyFont="1" applyBorder="1" applyAlignment="1">
      <alignment horizontal="center" wrapText="1"/>
    </xf>
    <xf numFmtId="0" fontId="28" fillId="0" borderId="5" xfId="0" applyFont="1" applyBorder="1" applyAlignment="1">
      <alignment horizontal="center" wrapText="1"/>
    </xf>
    <xf numFmtId="0" fontId="28" fillId="0" borderId="6" xfId="0" applyFont="1" applyBorder="1" applyAlignment="1">
      <alignment horizontal="center" wrapText="1"/>
    </xf>
    <xf numFmtId="2" fontId="41" fillId="13" borderId="0" xfId="0" applyNumberFormat="1" applyFont="1" applyFill="1" applyAlignment="1">
      <alignment horizontal="left" vertical="center" wrapText="1"/>
    </xf>
    <xf numFmtId="0" fontId="24" fillId="0" borderId="0" xfId="0" applyFont="1" applyAlignment="1">
      <alignment horizontal="left" vertical="top" wrapText="1"/>
    </xf>
    <xf numFmtId="0" fontId="63" fillId="0" borderId="33" xfId="0" applyFont="1" applyBorder="1" applyAlignment="1" applyProtection="1">
      <alignment horizontal="left" vertical="center" wrapText="1"/>
      <protection hidden="1"/>
    </xf>
    <xf numFmtId="0" fontId="63" fillId="0" borderId="31" xfId="0" applyFont="1" applyBorder="1" applyAlignment="1" applyProtection="1">
      <alignment horizontal="left" vertical="center" wrapText="1"/>
      <protection hidden="1"/>
    </xf>
    <xf numFmtId="0" fontId="63" fillId="0" borderId="20" xfId="0" applyFont="1" applyBorder="1" applyAlignment="1" applyProtection="1">
      <alignment horizontal="left" vertical="center" wrapText="1"/>
      <protection hidden="1"/>
    </xf>
    <xf numFmtId="2" fontId="24" fillId="0" borderId="31" xfId="0" applyNumberFormat="1" applyFont="1" applyBorder="1" applyAlignment="1" applyProtection="1">
      <alignment horizontal="center" vertical="center" wrapText="1"/>
      <protection hidden="1"/>
    </xf>
    <xf numFmtId="2" fontId="24" fillId="0" borderId="20" xfId="0" applyNumberFormat="1" applyFont="1" applyBorder="1" applyAlignment="1" applyProtection="1">
      <alignment horizontal="center" vertical="center" wrapText="1"/>
      <protection hidden="1"/>
    </xf>
    <xf numFmtId="0" fontId="22" fillId="0" borderId="37"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wrapText="1"/>
    </xf>
    <xf numFmtId="0" fontId="46" fillId="0" borderId="0" xfId="0" applyFont="1" applyAlignment="1">
      <alignment horizontal="left" wrapText="1"/>
    </xf>
    <xf numFmtId="0" fontId="28" fillId="0" borderId="36" xfId="0" applyFont="1" applyBorder="1" applyAlignment="1" applyProtection="1">
      <alignment horizontal="center" wrapText="1"/>
      <protection hidden="1"/>
    </xf>
    <xf numFmtId="0" fontId="28" fillId="0" borderId="13" xfId="0" applyFont="1" applyBorder="1" applyAlignment="1" applyProtection="1">
      <alignment horizontal="center" wrapText="1"/>
      <protection hidden="1"/>
    </xf>
    <xf numFmtId="0" fontId="22" fillId="0" borderId="46"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48" fillId="0" borderId="33" xfId="0" applyFont="1" applyBorder="1" applyAlignment="1" applyProtection="1">
      <alignment horizontal="center" vertical="center" wrapText="1"/>
      <protection hidden="1"/>
    </xf>
    <xf numFmtId="0" fontId="48" fillId="0" borderId="31" xfId="0" applyFont="1" applyBorder="1" applyAlignment="1" applyProtection="1">
      <alignment horizontal="center" vertical="center" wrapText="1"/>
      <protection hidden="1"/>
    </xf>
    <xf numFmtId="0" fontId="48" fillId="0" borderId="20" xfId="0" applyFont="1" applyBorder="1" applyAlignment="1" applyProtection="1">
      <alignment horizontal="center" vertical="center" wrapText="1"/>
      <protection hidden="1"/>
    </xf>
    <xf numFmtId="0" fontId="76" fillId="9" borderId="41" xfId="0" applyFont="1" applyFill="1" applyBorder="1" applyAlignment="1">
      <alignment horizontal="left"/>
    </xf>
    <xf numFmtId="0" fontId="44" fillId="0" borderId="0" xfId="0" applyFont="1" applyAlignment="1">
      <alignment horizontal="left" wrapText="1"/>
    </xf>
    <xf numFmtId="0" fontId="22" fillId="0" borderId="1" xfId="0" applyFont="1" applyBorder="1" applyAlignment="1">
      <alignment horizontal="left" wrapText="1"/>
    </xf>
    <xf numFmtId="0" fontId="3" fillId="9" borderId="0" xfId="0" applyFont="1" applyFill="1" applyAlignment="1">
      <alignment horizontal="center"/>
    </xf>
    <xf numFmtId="0" fontId="3" fillId="9" borderId="0" xfId="0" applyFont="1" applyFill="1" applyAlignment="1">
      <alignment horizontal="center" wrapText="1"/>
    </xf>
    <xf numFmtId="0" fontId="0" fillId="9" borderId="0" xfId="0" applyFill="1" applyAlignment="1">
      <alignment horizontal="center" wrapText="1"/>
    </xf>
    <xf numFmtId="0" fontId="0" fillId="9" borderId="15" xfId="0" applyFill="1" applyBorder="1" applyAlignment="1">
      <alignment horizontal="center"/>
    </xf>
    <xf numFmtId="0" fontId="0" fillId="9" borderId="10" xfId="0" applyFill="1" applyBorder="1" applyAlignment="1">
      <alignment horizontal="center"/>
    </xf>
    <xf numFmtId="0" fontId="0" fillId="9" borderId="65" xfId="0" applyFill="1" applyBorder="1" applyAlignment="1">
      <alignment horizontal="center"/>
    </xf>
    <xf numFmtId="0" fontId="3" fillId="9" borderId="15" xfId="0" applyFont="1" applyFill="1" applyBorder="1" applyAlignment="1">
      <alignment horizontal="center"/>
    </xf>
    <xf numFmtId="0" fontId="3" fillId="9" borderId="10" xfId="0" applyFont="1" applyFill="1" applyBorder="1" applyAlignment="1">
      <alignment horizontal="center"/>
    </xf>
    <xf numFmtId="0" fontId="3" fillId="9" borderId="65" xfId="0" applyFont="1" applyFill="1" applyBorder="1" applyAlignment="1">
      <alignment horizontal="center"/>
    </xf>
    <xf numFmtId="0" fontId="3" fillId="9" borderId="21" xfId="0" applyFont="1" applyFill="1" applyBorder="1" applyAlignment="1">
      <alignment horizontal="center"/>
    </xf>
    <xf numFmtId="0" fontId="69" fillId="0" borderId="15" xfId="10" applyFont="1" applyBorder="1" applyAlignment="1">
      <alignment horizontal="center" vertical="center"/>
    </xf>
    <xf numFmtId="0" fontId="69" fillId="0" borderId="60" xfId="10" applyFont="1" applyBorder="1" applyAlignment="1">
      <alignment horizontal="center" vertical="center"/>
    </xf>
    <xf numFmtId="0" fontId="68" fillId="18" borderId="62" xfId="10" applyFont="1" applyFill="1" applyBorder="1" applyAlignment="1">
      <alignment horizontal="center" wrapText="1"/>
    </xf>
    <xf numFmtId="0" fontId="68" fillId="18" borderId="10" xfId="10" applyFont="1" applyFill="1" applyBorder="1" applyAlignment="1">
      <alignment horizontal="center" wrapText="1"/>
    </xf>
    <xf numFmtId="0" fontId="68" fillId="18" borderId="65" xfId="10" applyFont="1" applyFill="1" applyBorder="1" applyAlignment="1">
      <alignment horizontal="center" wrapText="1"/>
    </xf>
    <xf numFmtId="0" fontId="68" fillId="18" borderId="21" xfId="10" applyFont="1" applyFill="1" applyBorder="1" applyAlignment="1">
      <alignment horizontal="center" wrapText="1"/>
    </xf>
    <xf numFmtId="0" fontId="1" fillId="0" borderId="37" xfId="10" applyFont="1" applyBorder="1" applyAlignment="1">
      <alignment horizontal="center"/>
    </xf>
    <xf numFmtId="0" fontId="1" fillId="0" borderId="1" xfId="10" applyFont="1" applyBorder="1" applyAlignment="1">
      <alignment horizontal="center"/>
    </xf>
    <xf numFmtId="0" fontId="68" fillId="8" borderId="11" xfId="10" applyFont="1" applyFill="1" applyBorder="1" applyAlignment="1">
      <alignment horizontal="center" wrapText="1"/>
    </xf>
    <xf numFmtId="0" fontId="68" fillId="8" borderId="0" xfId="10" applyFont="1" applyFill="1" applyAlignment="1">
      <alignment horizontal="center" wrapText="1"/>
    </xf>
    <xf numFmtId="0" fontId="68" fillId="8" borderId="43" xfId="10" applyFont="1" applyFill="1" applyBorder="1" applyAlignment="1">
      <alignment horizontal="center" wrapText="1"/>
    </xf>
    <xf numFmtId="0" fontId="1" fillId="0" borderId="4" xfId="10" applyFont="1" applyBorder="1" applyAlignment="1">
      <alignment horizontal="center"/>
    </xf>
    <xf numFmtId="0" fontId="1" fillId="0" borderId="5" xfId="10" applyFont="1" applyBorder="1" applyAlignment="1">
      <alignment horizontal="center"/>
    </xf>
    <xf numFmtId="0" fontId="1" fillId="0" borderId="6" xfId="10" applyFont="1" applyBorder="1" applyAlignment="1">
      <alignment horizontal="center"/>
    </xf>
    <xf numFmtId="0" fontId="0" fillId="0" borderId="1" xfId="0" applyBorder="1" applyAlignment="1"/>
  </cellXfs>
  <cellStyles count="11">
    <cellStyle name="Calc" xfId="1" xr:uid="{00000000-0005-0000-0000-000000000000}"/>
    <cellStyle name="Comma" xfId="5" builtinId="3"/>
    <cellStyle name="Input" xfId="2" builtinId="20" customBuiltin="1"/>
    <cellStyle name="Normal" xfId="0" builtinId="0"/>
    <cellStyle name="Normal 2" xfId="7" xr:uid="{00000000-0005-0000-0000-000005000000}"/>
    <cellStyle name="Normal 2_Appendix C" xfId="6" xr:uid="{00000000-0005-0000-0000-000006000000}"/>
    <cellStyle name="Normal 4" xfId="10" xr:uid="{469988DD-7D16-4353-A21E-6134FDBF727D}"/>
    <cellStyle name="Normal_Appendix C" xfId="8" xr:uid="{00000000-0005-0000-0000-000007000000}"/>
    <cellStyle name="Normal_Input Sheet" xfId="9" xr:uid="{00000000-0005-0000-0000-000008000000}"/>
    <cellStyle name="Normal_Sap2005_draft" xfId="3" xr:uid="{00000000-0005-0000-0000-000009000000}"/>
    <cellStyle name="Percent" xfId="4" builtinId="5"/>
  </cellStyles>
  <dxfs count="142">
    <dxf>
      <fill>
        <patternFill>
          <bgColor indexed="63"/>
        </patternFill>
      </fill>
    </dxf>
    <dxf>
      <font>
        <color theme="1"/>
      </font>
      <fill>
        <patternFill patternType="solid">
          <bgColor theme="1" tint="0.14996795556505021"/>
        </patternFill>
      </fill>
    </dxf>
    <dxf>
      <font>
        <color auto="1"/>
      </font>
      <fill>
        <patternFill>
          <bgColor indexed="63"/>
        </patternFill>
      </fill>
    </dxf>
    <dxf>
      <font>
        <color auto="1"/>
      </font>
      <fill>
        <patternFill>
          <bgColor theme="1" tint="0.14996795556505021"/>
        </patternFill>
      </fill>
    </dxf>
    <dxf>
      <fill>
        <patternFill>
          <bgColor indexed="63"/>
        </patternFill>
      </fill>
    </dxf>
    <dxf>
      <font>
        <color auto="1"/>
      </font>
      <fill>
        <patternFill>
          <bgColor indexed="63"/>
        </patternFill>
      </fill>
    </dxf>
    <dxf>
      <font>
        <color auto="1"/>
      </font>
      <fill>
        <patternFill>
          <bgColor theme="1" tint="0.14996795556505021"/>
        </patternFill>
      </fill>
    </dxf>
    <dxf>
      <font>
        <color rgb="FFFF0000"/>
      </font>
    </dxf>
    <dxf>
      <font>
        <color rgb="FFFF0000"/>
      </font>
    </dxf>
    <dxf>
      <font>
        <color theme="0"/>
      </font>
    </dxf>
    <dxf>
      <font>
        <color rgb="FFFF0000"/>
      </font>
      <fill>
        <patternFill patternType="none">
          <bgColor auto="1"/>
        </patternFill>
      </fill>
    </dxf>
    <dxf>
      <font>
        <color rgb="FFFF0000"/>
      </font>
    </dxf>
    <dxf>
      <fill>
        <patternFill>
          <bgColor theme="1" tint="0.24994659260841701"/>
        </patternFill>
      </fill>
    </dxf>
    <dxf>
      <fill>
        <patternFill>
          <bgColor theme="1" tint="0.24994659260841701"/>
        </patternFill>
      </fill>
    </dxf>
    <dxf>
      <fill>
        <patternFill>
          <bgColor rgb="FF333333"/>
        </patternFill>
      </fill>
    </dxf>
    <dxf>
      <fill>
        <patternFill>
          <bgColor theme="1" tint="0.24994659260841701"/>
        </patternFill>
      </fill>
    </dxf>
    <dxf>
      <font>
        <color theme="1"/>
      </font>
      <fill>
        <patternFill patternType="solid">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indexed="63"/>
        </patternFill>
      </fill>
    </dxf>
    <dxf>
      <fill>
        <patternFill>
          <bgColor indexed="63"/>
        </patternFill>
      </fill>
    </dxf>
    <dxf>
      <fill>
        <patternFill>
          <bgColor indexed="63"/>
        </patternFill>
      </fill>
    </dxf>
    <dxf>
      <fill>
        <patternFill>
          <bgColor indexed="63"/>
        </patternFill>
      </fill>
    </dxf>
    <dxf>
      <font>
        <color auto="1"/>
      </font>
      <fill>
        <patternFill>
          <bgColor indexed="63"/>
        </patternFill>
      </fill>
    </dxf>
    <dxf>
      <font>
        <color auto="1"/>
      </font>
      <fill>
        <patternFill>
          <bgColor theme="1" tint="0.14996795556505021"/>
        </patternFill>
      </fill>
    </dxf>
    <dxf>
      <fill>
        <patternFill>
          <bgColor theme="1"/>
        </patternFill>
      </fill>
    </dxf>
    <dxf>
      <fill>
        <patternFill>
          <bgColor theme="1" tint="0.14996795556505021"/>
        </patternFill>
      </fill>
    </dxf>
    <dxf>
      <fill>
        <patternFill>
          <bgColor theme="1" tint="0.14996795556505021"/>
        </patternFill>
      </fill>
    </dxf>
    <dxf>
      <font>
        <color theme="1"/>
      </font>
      <fill>
        <patternFill>
          <bgColor theme="1" tint="0.14996795556505021"/>
        </patternFill>
      </fill>
    </dxf>
    <dxf>
      <fill>
        <patternFill>
          <bgColor indexed="63"/>
        </patternFill>
      </fill>
    </dxf>
    <dxf>
      <font>
        <color theme="1"/>
      </font>
      <fill>
        <patternFill patternType="solid">
          <bgColor theme="1" tint="0.14996795556505021"/>
        </patternFill>
      </fill>
    </dxf>
    <dxf>
      <font>
        <color auto="1"/>
      </font>
      <fill>
        <patternFill>
          <bgColor indexed="63"/>
        </patternFill>
      </fill>
    </dxf>
    <dxf>
      <font>
        <color auto="1"/>
      </font>
      <fill>
        <patternFill>
          <bgColor theme="1" tint="0.14996795556505021"/>
        </patternFill>
      </fill>
    </dxf>
    <dxf>
      <fill>
        <patternFill>
          <bgColor indexed="63"/>
        </patternFill>
      </fill>
    </dxf>
    <dxf>
      <font>
        <color auto="1"/>
      </font>
      <fill>
        <patternFill>
          <bgColor indexed="63"/>
        </patternFill>
      </fill>
    </dxf>
    <dxf>
      <font>
        <color auto="1"/>
      </font>
      <fill>
        <patternFill>
          <bgColor theme="1" tint="0.14996795556505021"/>
        </patternFill>
      </fill>
    </dxf>
    <dxf>
      <font>
        <color rgb="FFFF0000"/>
      </font>
    </dxf>
    <dxf>
      <font>
        <color rgb="FFFF0000"/>
      </font>
    </dxf>
    <dxf>
      <font>
        <color theme="0"/>
      </font>
    </dxf>
    <dxf>
      <font>
        <color rgb="FFFF0000"/>
      </font>
      <fill>
        <patternFill patternType="none">
          <bgColor auto="1"/>
        </patternFill>
      </fill>
    </dxf>
    <dxf>
      <font>
        <color rgb="FFFF0000"/>
      </font>
    </dxf>
    <dxf>
      <fill>
        <patternFill>
          <bgColor theme="1" tint="0.24994659260841701"/>
        </patternFill>
      </fill>
    </dxf>
    <dxf>
      <fill>
        <patternFill>
          <bgColor theme="1" tint="0.24994659260841701"/>
        </patternFill>
      </fill>
    </dxf>
    <dxf>
      <fill>
        <patternFill>
          <bgColor rgb="FF333333"/>
        </patternFill>
      </fill>
    </dxf>
    <dxf>
      <fill>
        <patternFill>
          <bgColor theme="1" tint="0.24994659260841701"/>
        </patternFill>
      </fill>
    </dxf>
    <dxf>
      <font>
        <color theme="1"/>
      </font>
      <fill>
        <patternFill patternType="solid">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indexed="63"/>
        </patternFill>
      </fill>
    </dxf>
    <dxf>
      <fill>
        <patternFill>
          <bgColor indexed="63"/>
        </patternFill>
      </fill>
    </dxf>
    <dxf>
      <fill>
        <patternFill>
          <bgColor indexed="63"/>
        </patternFill>
      </fill>
    </dxf>
    <dxf>
      <fill>
        <patternFill>
          <bgColor indexed="63"/>
        </patternFill>
      </fill>
    </dxf>
    <dxf>
      <font>
        <color auto="1"/>
      </font>
      <fill>
        <patternFill>
          <bgColor indexed="63"/>
        </patternFill>
      </fill>
    </dxf>
    <dxf>
      <font>
        <color auto="1"/>
      </font>
      <fill>
        <patternFill>
          <bgColor theme="1" tint="0.14996795556505021"/>
        </patternFill>
      </fill>
    </dxf>
    <dxf>
      <fill>
        <patternFill>
          <bgColor theme="1"/>
        </patternFill>
      </fill>
    </dxf>
    <dxf>
      <fill>
        <patternFill>
          <bgColor theme="1" tint="0.14996795556505021"/>
        </patternFill>
      </fill>
    </dxf>
    <dxf>
      <fill>
        <patternFill>
          <bgColor theme="1" tint="0.14996795556505021"/>
        </patternFill>
      </fill>
    </dxf>
    <dxf>
      <font>
        <color theme="1"/>
      </font>
      <fill>
        <patternFill>
          <bgColor theme="1" tint="0.14996795556505021"/>
        </patternFill>
      </fill>
    </dxf>
    <dxf>
      <fill>
        <patternFill>
          <bgColor indexed="63"/>
        </patternFill>
      </fill>
    </dxf>
    <dxf>
      <font>
        <color theme="1"/>
      </font>
      <fill>
        <patternFill patternType="solid">
          <bgColor theme="1" tint="0.14996795556505021"/>
        </patternFill>
      </fill>
    </dxf>
    <dxf>
      <font>
        <color auto="1"/>
      </font>
      <fill>
        <patternFill>
          <bgColor indexed="63"/>
        </patternFill>
      </fill>
    </dxf>
    <dxf>
      <font>
        <color auto="1"/>
      </font>
      <fill>
        <patternFill>
          <bgColor theme="1" tint="0.14996795556505021"/>
        </patternFill>
      </fill>
    </dxf>
    <dxf>
      <fill>
        <patternFill>
          <bgColor indexed="63"/>
        </patternFill>
      </fill>
    </dxf>
    <dxf>
      <font>
        <color auto="1"/>
      </font>
      <fill>
        <patternFill>
          <bgColor indexed="63"/>
        </patternFill>
      </fill>
    </dxf>
    <dxf>
      <font>
        <color auto="1"/>
      </font>
      <fill>
        <patternFill>
          <bgColor theme="1" tint="0.14996795556505021"/>
        </patternFill>
      </fill>
    </dxf>
    <dxf>
      <font>
        <color rgb="FFFF0000"/>
      </font>
    </dxf>
    <dxf>
      <font>
        <color rgb="FFFF0000"/>
      </font>
    </dxf>
    <dxf>
      <font>
        <color theme="0"/>
      </font>
    </dxf>
    <dxf>
      <font>
        <color rgb="FFFF0000"/>
      </font>
      <fill>
        <patternFill patternType="none">
          <bgColor auto="1"/>
        </patternFill>
      </fill>
    </dxf>
    <dxf>
      <font>
        <color rgb="FFFF0000"/>
      </font>
    </dxf>
    <dxf>
      <fill>
        <patternFill>
          <bgColor theme="1" tint="0.24994659260841701"/>
        </patternFill>
      </fill>
    </dxf>
    <dxf>
      <fill>
        <patternFill>
          <bgColor theme="1" tint="0.24994659260841701"/>
        </patternFill>
      </fill>
    </dxf>
    <dxf>
      <fill>
        <patternFill>
          <bgColor rgb="FF333333"/>
        </patternFill>
      </fill>
    </dxf>
    <dxf>
      <fill>
        <patternFill>
          <bgColor theme="1" tint="0.24994659260841701"/>
        </patternFill>
      </fill>
    </dxf>
    <dxf>
      <font>
        <color theme="1"/>
      </font>
      <fill>
        <patternFill patternType="solid">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indexed="63"/>
        </patternFill>
      </fill>
    </dxf>
    <dxf>
      <fill>
        <patternFill>
          <bgColor indexed="63"/>
        </patternFill>
      </fill>
    </dxf>
    <dxf>
      <fill>
        <patternFill>
          <bgColor indexed="63"/>
        </patternFill>
      </fill>
    </dxf>
    <dxf>
      <fill>
        <patternFill>
          <bgColor indexed="63"/>
        </patternFill>
      </fill>
    </dxf>
    <dxf>
      <font>
        <color auto="1"/>
      </font>
      <fill>
        <patternFill>
          <bgColor indexed="63"/>
        </patternFill>
      </fill>
    </dxf>
    <dxf>
      <font>
        <color auto="1"/>
      </font>
      <fill>
        <patternFill>
          <bgColor theme="1" tint="0.14996795556505021"/>
        </patternFill>
      </fill>
    </dxf>
    <dxf>
      <fill>
        <patternFill>
          <bgColor theme="1"/>
        </patternFill>
      </fill>
    </dxf>
    <dxf>
      <fill>
        <patternFill>
          <bgColor theme="1" tint="0.14996795556505021"/>
        </patternFill>
      </fill>
    </dxf>
    <dxf>
      <fill>
        <patternFill>
          <bgColor theme="1" tint="0.14996795556505021"/>
        </patternFill>
      </fill>
    </dxf>
    <dxf>
      <font>
        <color theme="1"/>
      </font>
      <fill>
        <patternFill>
          <bgColor theme="1" tint="0.14996795556505021"/>
        </patternFill>
      </fill>
    </dxf>
    <dxf>
      <font>
        <color rgb="FFFF0000"/>
      </font>
    </dxf>
    <dxf>
      <font>
        <color rgb="FFFF0000"/>
      </font>
    </dxf>
    <dxf>
      <fill>
        <patternFill>
          <bgColor theme="1" tint="0.24994659260841701"/>
        </patternFill>
      </fill>
    </dxf>
    <dxf>
      <font>
        <color auto="1"/>
      </font>
      <fill>
        <patternFill patternType="solid">
          <bgColor indexed="63"/>
        </patternFill>
      </fill>
    </dxf>
  </dxfs>
  <tableStyles count="0" defaultTableStyle="TableStyleMedium9" defaultPivotStyle="PivotStyleLight16"/>
  <colors>
    <mruColors>
      <color rgb="FFCCFFFF"/>
      <color rgb="FF66FF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HeatingCalc_1!$AF$5:$AF$11</c:f>
              <c:numCache>
                <c:formatCode>General</c:formatCode>
                <c:ptCount val="7"/>
                <c:pt idx="0">
                  <c:v>0.2</c:v>
                </c:pt>
                <c:pt idx="1">
                  <c:v>0.25</c:v>
                </c:pt>
                <c:pt idx="2">
                  <c:v>0.3</c:v>
                </c:pt>
                <c:pt idx="3">
                  <c:v>0.35</c:v>
                </c:pt>
                <c:pt idx="4">
                  <c:v>0.4</c:v>
                </c:pt>
                <c:pt idx="5">
                  <c:v>0.45</c:v>
                </c:pt>
                <c:pt idx="6">
                  <c:v>0.5</c:v>
                </c:pt>
              </c:numCache>
            </c:numRef>
          </c:xVal>
          <c:yVal>
            <c:numRef>
              <c:f>HeatingCalc_1!$AG$5:$AG$11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HeatingCalc_1!$AF$5:$AF$15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HeatingCalc_1!$AH$5:$AH$15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HeatingCalc_1!$AF$5:$AF$21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HeatingCalc_1!$AI$5:$AI$21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HeatingCalc_2!$AF$5:$AF$11</c:f>
              <c:numCache>
                <c:formatCode>General</c:formatCode>
                <c:ptCount val="7"/>
                <c:pt idx="0">
                  <c:v>0.2</c:v>
                </c:pt>
                <c:pt idx="1">
                  <c:v>0.25</c:v>
                </c:pt>
                <c:pt idx="2">
                  <c:v>0.3</c:v>
                </c:pt>
                <c:pt idx="3">
                  <c:v>0.35</c:v>
                </c:pt>
                <c:pt idx="4">
                  <c:v>0.4</c:v>
                </c:pt>
                <c:pt idx="5">
                  <c:v>0.45</c:v>
                </c:pt>
                <c:pt idx="6">
                  <c:v>0.5</c:v>
                </c:pt>
              </c:numCache>
            </c:numRef>
          </c:xVal>
          <c:yVal>
            <c:numRef>
              <c:f>HeatingCalc_2!$AG$5:$AG$11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986D-4858-8DA7-DC33A467D429}"/>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HeatingCalc_2!$AF$5:$AF$15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HeatingCalc_2!$AH$5:$AH$15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0462-4984-9F99-C5716AF3593D}"/>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HeatingCalc_2!$AF$5:$AF$21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HeatingCalc_2!$AI$5:$AI$21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60C1-4270-B9E8-2F17433F40E2}"/>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HeatingCalc_3!$AF$5:$AF$11</c:f>
              <c:numCache>
                <c:formatCode>General</c:formatCode>
                <c:ptCount val="7"/>
                <c:pt idx="0">
                  <c:v>0.2</c:v>
                </c:pt>
                <c:pt idx="1">
                  <c:v>0.25</c:v>
                </c:pt>
                <c:pt idx="2">
                  <c:v>0.3</c:v>
                </c:pt>
                <c:pt idx="3">
                  <c:v>0.35</c:v>
                </c:pt>
                <c:pt idx="4">
                  <c:v>0.4</c:v>
                </c:pt>
                <c:pt idx="5">
                  <c:v>0.45</c:v>
                </c:pt>
                <c:pt idx="6">
                  <c:v>0.5</c:v>
                </c:pt>
              </c:numCache>
            </c:numRef>
          </c:xVal>
          <c:yVal>
            <c:numRef>
              <c:f>HeatingCalc_3!$AG$5:$AG$11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470-489C-B929-E77A06D68693}"/>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HeatingCalc_3!$AF$5:$AF$15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HeatingCalc_3!$AH$5:$AH$15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36D9-4844-8118-BA16881F4CF0}"/>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HeatingCalc_3!$AF$5:$AF$21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HeatingCalc_3!$AI$5:$AI$21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F448-4324-8B09-9219FA9E8450}"/>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342900</xdr:colOff>
      <xdr:row>34</xdr:row>
      <xdr:rowOff>190500</xdr:rowOff>
    </xdr:from>
    <xdr:to>
      <xdr:col>10</xdr:col>
      <xdr:colOff>409575</xdr:colOff>
      <xdr:row>46</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2006-2020 The Sustainable Energy Authority of Ireland. All rights reserved.</a:t>
          </a:r>
        </a:p>
      </xdr:txBody>
    </xdr:sp>
    <xdr:clientData/>
  </xdr:twoCellAnchor>
  <xdr:twoCellAnchor editAs="oneCell">
    <xdr:from>
      <xdr:col>4</xdr:col>
      <xdr:colOff>9525</xdr:colOff>
      <xdr:row>0</xdr:row>
      <xdr:rowOff>0</xdr:rowOff>
    </xdr:from>
    <xdr:to>
      <xdr:col>5</xdr:col>
      <xdr:colOff>1562100</xdr:colOff>
      <xdr:row>4</xdr:row>
      <xdr:rowOff>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2225" y="0"/>
          <a:ext cx="2207895" cy="77724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28442</xdr:colOff>
      <xdr:row>2</xdr:row>
      <xdr:rowOff>0</xdr:rowOff>
    </xdr:from>
    <xdr:to>
      <xdr:col>6</xdr:col>
      <xdr:colOff>3779469</xdr:colOff>
      <xdr:row>10</xdr:row>
      <xdr:rowOff>145621</xdr:rowOff>
    </xdr:to>
    <xdr:pic>
      <xdr:nvPicPr>
        <xdr:cNvPr id="2" name="Picture 1">
          <a:extLst>
            <a:ext uri="{FF2B5EF4-FFF2-40B4-BE49-F238E27FC236}">
              <a16:creationId xmlns:a16="http://schemas.microsoft.com/office/drawing/2014/main" id="{BAB7A070-CB91-4D27-9963-67990F269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7313" y="595053"/>
          <a:ext cx="3752307" cy="197025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903514</xdr:colOff>
      <xdr:row>2</xdr:row>
      <xdr:rowOff>43542</xdr:rowOff>
    </xdr:from>
    <xdr:to>
      <xdr:col>9</xdr:col>
      <xdr:colOff>1000543</xdr:colOff>
      <xdr:row>5</xdr:row>
      <xdr:rowOff>550184</xdr:rowOff>
    </xdr:to>
    <xdr:pic>
      <xdr:nvPicPr>
        <xdr:cNvPr id="19" name="Picture 18">
          <a:extLst>
            <a:ext uri="{FF2B5EF4-FFF2-40B4-BE49-F238E27FC236}">
              <a16:creationId xmlns:a16="http://schemas.microsoft.com/office/drawing/2014/main" id="{EB85C6BE-1C2C-442C-90D3-F9E7FF258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9041" y="833251"/>
          <a:ext cx="3751614" cy="196536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903514</xdr:colOff>
      <xdr:row>2</xdr:row>
      <xdr:rowOff>43542</xdr:rowOff>
    </xdr:from>
    <xdr:to>
      <xdr:col>9</xdr:col>
      <xdr:colOff>997368</xdr:colOff>
      <xdr:row>5</xdr:row>
      <xdr:rowOff>550184</xdr:rowOff>
    </xdr:to>
    <xdr:pic>
      <xdr:nvPicPr>
        <xdr:cNvPr id="2" name="Picture 1">
          <a:extLst>
            <a:ext uri="{FF2B5EF4-FFF2-40B4-BE49-F238E27FC236}">
              <a16:creationId xmlns:a16="http://schemas.microsoft.com/office/drawing/2014/main" id="{A1F374E4-AD86-4B69-8F25-76107CD7B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59894" y="820782"/>
          <a:ext cx="3725419" cy="20230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903514</xdr:colOff>
      <xdr:row>2</xdr:row>
      <xdr:rowOff>43542</xdr:rowOff>
    </xdr:from>
    <xdr:to>
      <xdr:col>9</xdr:col>
      <xdr:colOff>997368</xdr:colOff>
      <xdr:row>5</xdr:row>
      <xdr:rowOff>550184</xdr:rowOff>
    </xdr:to>
    <xdr:pic>
      <xdr:nvPicPr>
        <xdr:cNvPr id="2" name="Picture 1">
          <a:extLst>
            <a:ext uri="{FF2B5EF4-FFF2-40B4-BE49-F238E27FC236}">
              <a16:creationId xmlns:a16="http://schemas.microsoft.com/office/drawing/2014/main" id="{0CFDB001-BEC2-4D6B-869B-A0A1150FD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59894" y="820782"/>
          <a:ext cx="3725419" cy="20230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196215</xdr:colOff>
      <xdr:row>4</xdr:row>
      <xdr:rowOff>120015</xdr:rowOff>
    </xdr:from>
    <xdr:to>
      <xdr:col>43</xdr:col>
      <xdr:colOff>497205</xdr:colOff>
      <xdr:row>19</xdr:row>
      <xdr:rowOff>76200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196215</xdr:colOff>
      <xdr:row>4</xdr:row>
      <xdr:rowOff>120015</xdr:rowOff>
    </xdr:from>
    <xdr:to>
      <xdr:col>43</xdr:col>
      <xdr:colOff>497205</xdr:colOff>
      <xdr:row>19</xdr:row>
      <xdr:rowOff>76200</xdr:rowOff>
    </xdr:to>
    <xdr:graphicFrame macro="">
      <xdr:nvGraphicFramePr>
        <xdr:cNvPr id="2" name="Chart 1">
          <a:extLst>
            <a:ext uri="{FF2B5EF4-FFF2-40B4-BE49-F238E27FC236}">
              <a16:creationId xmlns:a16="http://schemas.microsoft.com/office/drawing/2014/main" id="{D9046F96-F35A-4A48-AFDC-63451793D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2FA62DD3-F432-4BCB-A6AB-EF451FFC9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4D73B318-8F9E-452A-825E-0EF9EFA4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196215</xdr:colOff>
      <xdr:row>4</xdr:row>
      <xdr:rowOff>120015</xdr:rowOff>
    </xdr:from>
    <xdr:to>
      <xdr:col>43</xdr:col>
      <xdr:colOff>497205</xdr:colOff>
      <xdr:row>19</xdr:row>
      <xdr:rowOff>76200</xdr:rowOff>
    </xdr:to>
    <xdr:graphicFrame macro="">
      <xdr:nvGraphicFramePr>
        <xdr:cNvPr id="2" name="Chart 1">
          <a:extLst>
            <a:ext uri="{FF2B5EF4-FFF2-40B4-BE49-F238E27FC236}">
              <a16:creationId xmlns:a16="http://schemas.microsoft.com/office/drawing/2014/main" id="{54538594-25CC-40C7-B1E3-AF3FC8314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635D6E5B-6ADB-47F3-9B50-FA24D668E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77D7E651-5E42-457D-9140-D9DF4979C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ay\OneDrive\Documents\Fuinniv\Contacts\SEAI\BEREPBD\DBER\Heat%20pumps\DEAP%20Q4%202019%20Q1%202020%20Heat%20pump%20update\References\DEAP-4.2.1-Workbook%20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Code"/>
      <sheetName val="Proj"/>
      <sheetName val="Dim"/>
      <sheetName val="Vent"/>
      <sheetName val="Win"/>
      <sheetName val="Fab"/>
      <sheetName val="WH"/>
      <sheetName val="Light"/>
      <sheetName val="HtUse"/>
      <sheetName val="SH"/>
      <sheetName val="ER1"/>
      <sheetName val="ER2"/>
      <sheetName val="Result"/>
      <sheetName val="RER"/>
      <sheetName val="Fuel"/>
      <sheetName val="SWH"/>
      <sheetName val="Summer"/>
      <sheetName val="HP"/>
      <sheetName val="Heating Calc"/>
      <sheetName val="DHW Calc"/>
      <sheetName val="Meteorological data"/>
      <sheetName val="Rpt"/>
      <sheetName val="Sheet1"/>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2B4C-6ADD-4FF7-9CAF-6B8A0A0B71C6}">
  <sheetPr>
    <tabColor rgb="FFFF0000"/>
  </sheetPr>
  <dimension ref="A1:G5"/>
  <sheetViews>
    <sheetView workbookViewId="0">
      <selection activeCell="C5" sqref="C5:E5"/>
    </sheetView>
  </sheetViews>
  <sheetFormatPr defaultRowHeight="12.75"/>
  <cols>
    <col min="1" max="1" width="12.5703125" customWidth="1"/>
    <col min="2" max="2" width="15.85546875" customWidth="1"/>
    <col min="3" max="3" width="37.5703125" customWidth="1"/>
    <col min="4" max="4" width="22.85546875" customWidth="1"/>
    <col min="5" max="5" width="25" customWidth="1"/>
    <col min="6" max="6" width="23" customWidth="1"/>
    <col min="7" max="7" width="25.28515625" customWidth="1"/>
  </cols>
  <sheetData>
    <row r="1" spans="1:7">
      <c r="A1" t="s">
        <v>0</v>
      </c>
      <c r="B1" t="s">
        <v>1</v>
      </c>
      <c r="C1" t="s">
        <v>2</v>
      </c>
      <c r="D1" t="s">
        <v>3</v>
      </c>
      <c r="E1" t="s">
        <v>4</v>
      </c>
      <c r="F1" t="s">
        <v>5</v>
      </c>
      <c r="G1" t="s">
        <v>6</v>
      </c>
    </row>
    <row r="2" spans="1:7" s="651" customFormat="1" ht="110.45" customHeight="1">
      <c r="A2" s="650">
        <v>45505</v>
      </c>
      <c r="B2" s="651" t="s">
        <v>7</v>
      </c>
      <c r="C2" s="652" t="s">
        <v>8</v>
      </c>
      <c r="D2" s="651" t="s">
        <v>9</v>
      </c>
      <c r="E2" s="651" t="s">
        <v>10</v>
      </c>
    </row>
    <row r="3" spans="1:7">
      <c r="A3" s="654">
        <v>45505</v>
      </c>
      <c r="B3" t="s">
        <v>11</v>
      </c>
      <c r="C3" t="s">
        <v>12</v>
      </c>
      <c r="D3" t="s">
        <v>13</v>
      </c>
      <c r="E3" s="651" t="s">
        <v>10</v>
      </c>
    </row>
    <row r="4" spans="1:7" ht="25.5">
      <c r="C4" s="92" t="s">
        <v>14</v>
      </c>
      <c r="D4" s="92" t="s">
        <v>15</v>
      </c>
      <c r="E4" s="651" t="s">
        <v>10</v>
      </c>
    </row>
    <row r="5" spans="1:7" ht="27" customHeight="1">
      <c r="A5" s="654">
        <v>45505</v>
      </c>
      <c r="B5" s="84" t="s">
        <v>16</v>
      </c>
      <c r="C5" s="88" t="s">
        <v>17</v>
      </c>
      <c r="D5" s="88" t="s">
        <v>18</v>
      </c>
      <c r="E5" s="65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T42"/>
  <sheetViews>
    <sheetView topLeftCell="A12" workbookViewId="0">
      <selection activeCell="F30" sqref="F30"/>
    </sheetView>
  </sheetViews>
  <sheetFormatPr defaultColWidth="9.140625" defaultRowHeight="12.75"/>
  <cols>
    <col min="1" max="1" width="7.42578125" style="18" customWidth="1"/>
    <col min="2" max="2" width="10.140625" style="18" customWidth="1"/>
    <col min="3" max="3" width="10.5703125" style="18" customWidth="1"/>
    <col min="4" max="5" width="9.140625" style="18"/>
    <col min="6" max="7" width="30.42578125" style="18" customWidth="1"/>
    <col min="8" max="16384" width="9.140625" style="18"/>
  </cols>
  <sheetData>
    <row r="4" spans="3:13" ht="21.75" customHeight="1">
      <c r="C4" s="19"/>
      <c r="D4" s="19"/>
      <c r="E4" s="19"/>
      <c r="F4" s="19"/>
      <c r="H4" s="19"/>
      <c r="I4" s="19"/>
      <c r="J4" s="19"/>
      <c r="K4" s="19"/>
      <c r="L4" s="19"/>
    </row>
    <row r="5" spans="3:13" ht="20.25">
      <c r="F5" s="111" t="s">
        <v>19</v>
      </c>
    </row>
    <row r="6" spans="3:13" s="20" customFormat="1" ht="18">
      <c r="C6" s="21"/>
      <c r="D6" s="21"/>
      <c r="E6" s="21"/>
      <c r="F6" s="22" t="s">
        <v>20</v>
      </c>
      <c r="H6" s="21"/>
      <c r="I6" s="21"/>
      <c r="J6" s="21"/>
      <c r="K6" s="21"/>
      <c r="L6" s="21"/>
    </row>
    <row r="8" spans="3:13" ht="21.75" customHeight="1">
      <c r="C8" s="21"/>
      <c r="D8" s="21"/>
      <c r="E8" s="21"/>
      <c r="F8" s="22" t="s">
        <v>21</v>
      </c>
      <c r="H8" s="21"/>
      <c r="I8" s="21"/>
      <c r="J8" s="21"/>
      <c r="K8" s="21"/>
      <c r="L8" s="21"/>
    </row>
    <row r="9" spans="3:13" ht="16.5" customHeight="1">
      <c r="F9" s="105"/>
    </row>
    <row r="10" spans="3:13" ht="18.75" customHeight="1">
      <c r="F10" s="105"/>
    </row>
    <row r="12" spans="3:13" ht="15">
      <c r="F12" s="655" t="s">
        <v>22</v>
      </c>
    </row>
    <row r="13" spans="3:13" ht="15.75">
      <c r="F13" s="19"/>
      <c r="M13" s="18" t="s">
        <v>23</v>
      </c>
    </row>
    <row r="14" spans="3:13" ht="15.75">
      <c r="F14" s="19"/>
      <c r="L14" s="18" t="s">
        <v>23</v>
      </c>
    </row>
    <row r="15" spans="3:13" ht="15.75">
      <c r="C15" s="18" t="s">
        <v>24</v>
      </c>
      <c r="D15" s="18" t="s">
        <v>25</v>
      </c>
      <c r="F15" s="19"/>
      <c r="G15" s="646">
        <v>44044</v>
      </c>
    </row>
    <row r="16" spans="3:13" ht="15.75">
      <c r="C16" s="18" t="s">
        <v>26</v>
      </c>
      <c r="D16" s="18" t="s">
        <v>27</v>
      </c>
      <c r="F16" s="19"/>
      <c r="G16" s="646">
        <v>44287</v>
      </c>
      <c r="L16" s="18" t="s">
        <v>23</v>
      </c>
    </row>
    <row r="17" spans="3:11" ht="27.95" customHeight="1">
      <c r="C17" s="18" t="s">
        <v>28</v>
      </c>
      <c r="D17" s="666" t="s">
        <v>29</v>
      </c>
      <c r="E17" s="666"/>
      <c r="F17" s="666"/>
      <c r="G17" s="646">
        <v>45505</v>
      </c>
    </row>
    <row r="18" spans="3:11" ht="16.5" thickBot="1">
      <c r="F18" s="19"/>
    </row>
    <row r="19" spans="3:11" ht="15.6" customHeight="1">
      <c r="C19" s="657" t="s">
        <v>30</v>
      </c>
      <c r="D19" s="658"/>
      <c r="E19" s="658"/>
      <c r="F19" s="658"/>
      <c r="G19" s="658"/>
      <c r="H19" s="658"/>
      <c r="I19" s="658"/>
      <c r="J19" s="658"/>
      <c r="K19" s="659"/>
    </row>
    <row r="20" spans="3:11" ht="15.6" customHeight="1">
      <c r="C20" s="660"/>
      <c r="D20" s="661"/>
      <c r="E20" s="661"/>
      <c r="F20" s="661"/>
      <c r="G20" s="661"/>
      <c r="H20" s="661"/>
      <c r="I20" s="661"/>
      <c r="J20" s="661"/>
      <c r="K20" s="662"/>
    </row>
    <row r="21" spans="3:11" ht="15.6" customHeight="1">
      <c r="C21" s="660"/>
      <c r="D21" s="661"/>
      <c r="E21" s="661"/>
      <c r="F21" s="661"/>
      <c r="G21" s="661"/>
      <c r="H21" s="661"/>
      <c r="I21" s="661"/>
      <c r="J21" s="661"/>
      <c r="K21" s="662"/>
    </row>
    <row r="22" spans="3:11" ht="15.6" customHeight="1">
      <c r="C22" s="660"/>
      <c r="D22" s="661"/>
      <c r="E22" s="661"/>
      <c r="F22" s="661"/>
      <c r="G22" s="661"/>
      <c r="H22" s="661"/>
      <c r="I22" s="661"/>
      <c r="J22" s="661"/>
      <c r="K22" s="662"/>
    </row>
    <row r="23" spans="3:11" ht="15.6" customHeight="1">
      <c r="C23" s="660"/>
      <c r="D23" s="661"/>
      <c r="E23" s="661"/>
      <c r="F23" s="661"/>
      <c r="G23" s="661"/>
      <c r="H23" s="661"/>
      <c r="I23" s="661"/>
      <c r="J23" s="661"/>
      <c r="K23" s="662"/>
    </row>
    <row r="24" spans="3:11" ht="15.6" customHeight="1">
      <c r="C24" s="660"/>
      <c r="D24" s="661"/>
      <c r="E24" s="661"/>
      <c r="F24" s="661"/>
      <c r="G24" s="661"/>
      <c r="H24" s="661"/>
      <c r="I24" s="661"/>
      <c r="J24" s="661"/>
      <c r="K24" s="662"/>
    </row>
    <row r="25" spans="3:11">
      <c r="C25" s="660"/>
      <c r="D25" s="661"/>
      <c r="E25" s="661"/>
      <c r="F25" s="661"/>
      <c r="G25" s="661"/>
      <c r="H25" s="661"/>
      <c r="I25" s="661"/>
      <c r="J25" s="661"/>
      <c r="K25" s="662"/>
    </row>
    <row r="26" spans="3:11">
      <c r="C26" s="660"/>
      <c r="D26" s="661"/>
      <c r="E26" s="661"/>
      <c r="F26" s="661"/>
      <c r="G26" s="661"/>
      <c r="H26" s="661"/>
      <c r="I26" s="661"/>
      <c r="J26" s="661"/>
      <c r="K26" s="662"/>
    </row>
    <row r="27" spans="3:11">
      <c r="C27" s="660"/>
      <c r="D27" s="661"/>
      <c r="E27" s="661"/>
      <c r="F27" s="661"/>
      <c r="G27" s="661"/>
      <c r="H27" s="661"/>
      <c r="I27" s="661"/>
      <c r="J27" s="661"/>
      <c r="K27" s="662"/>
    </row>
    <row r="28" spans="3:11">
      <c r="C28" s="660"/>
      <c r="D28" s="661"/>
      <c r="E28" s="661"/>
      <c r="F28" s="661"/>
      <c r="G28" s="661"/>
      <c r="H28" s="661"/>
      <c r="I28" s="661"/>
      <c r="J28" s="661"/>
      <c r="K28" s="662"/>
    </row>
    <row r="29" spans="3:11" ht="13.5" thickBot="1">
      <c r="C29" s="663"/>
      <c r="D29" s="664"/>
      <c r="E29" s="664"/>
      <c r="F29" s="664"/>
      <c r="G29" s="664"/>
      <c r="H29" s="664"/>
      <c r="I29" s="664"/>
      <c r="J29" s="664"/>
      <c r="K29" s="665"/>
    </row>
    <row r="30" spans="3:11" ht="15.75">
      <c r="F30" s="19"/>
    </row>
    <row r="31" spans="3:11" ht="15.75">
      <c r="F31" s="19"/>
    </row>
    <row r="32" spans="3:11" ht="15.75">
      <c r="F32" s="19"/>
    </row>
    <row r="33" spans="2:20" ht="15.75">
      <c r="F33" s="19"/>
    </row>
    <row r="34" spans="2:20" ht="15.75">
      <c r="F34" s="19"/>
    </row>
    <row r="35" spans="2:20" ht="15.75">
      <c r="F35" s="19"/>
    </row>
    <row r="36" spans="2:20" ht="15.75">
      <c r="F36" s="19"/>
    </row>
    <row r="38" spans="2:20">
      <c r="D38" s="23"/>
    </row>
    <row r="41" spans="2:20">
      <c r="B41" s="24"/>
    </row>
    <row r="42" spans="2:20">
      <c r="B42" s="24"/>
      <c r="T42" s="519"/>
    </row>
  </sheetData>
  <sheetProtection algorithmName="SHA-512" hashValue="BHfEy+OSDNZ1+c/P0U8IEVt+xMEX4iabuKN85oCCP3r4ytx6qHEApluz+RpWP14aF71UqcDrH2zjBk3T6Wy/Jg==" saltValue="R3bpgxIz9zw6OKTxbslIKg==" spinCount="100000" sheet="1" objects="1" scenarios="1"/>
  <mergeCells count="2">
    <mergeCell ref="C19:K29"/>
    <mergeCell ref="D17:F17"/>
  </mergeCells>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topLeftCell="A16" zoomScale="70" zoomScaleNormal="70" workbookViewId="0">
      <selection activeCell="O22" sqref="O22"/>
    </sheetView>
  </sheetViews>
  <sheetFormatPr defaultRowHeight="12.75"/>
  <cols>
    <col min="2" max="2" width="15.140625" customWidth="1"/>
    <col min="5" max="5" width="9.5703125" customWidth="1"/>
    <col min="6" max="6" width="14.42578125" customWidth="1"/>
    <col min="10" max="10" width="26" customWidth="1"/>
  </cols>
  <sheetData>
    <row r="1" spans="1:10" ht="18">
      <c r="A1" s="4" t="s">
        <v>31</v>
      </c>
      <c r="B1" s="5"/>
      <c r="C1" s="5"/>
      <c r="D1" s="5"/>
      <c r="E1" s="5"/>
      <c r="F1" s="5"/>
      <c r="G1" s="5"/>
      <c r="H1" s="5"/>
      <c r="I1" s="5"/>
      <c r="J1" s="5"/>
    </row>
    <row r="3" spans="1:10" ht="15.75">
      <c r="A3" s="7"/>
      <c r="B3" s="8" t="s">
        <v>32</v>
      </c>
      <c r="C3" s="7"/>
      <c r="D3" s="7"/>
      <c r="E3" s="7"/>
      <c r="F3" s="7"/>
      <c r="G3" s="7"/>
      <c r="H3" s="7"/>
      <c r="I3" s="7"/>
      <c r="J3" s="7"/>
    </row>
    <row r="4" spans="1:10">
      <c r="B4" s="7" t="s">
        <v>33</v>
      </c>
      <c r="C4" s="103"/>
      <c r="D4" s="103"/>
    </row>
    <row r="5" spans="1:10">
      <c r="C5" s="103"/>
      <c r="D5" s="103"/>
    </row>
    <row r="6" spans="1:10">
      <c r="B6" s="7" t="s">
        <v>34</v>
      </c>
      <c r="C6" s="103"/>
      <c r="D6" s="103"/>
    </row>
    <row r="7" spans="1:10">
      <c r="C7" s="103"/>
      <c r="D7" s="103"/>
    </row>
    <row r="8" spans="1:10">
      <c r="A8" s="7"/>
      <c r="B8" s="9" t="s">
        <v>35</v>
      </c>
      <c r="C8" s="7"/>
      <c r="D8" s="9" t="s">
        <v>36</v>
      </c>
      <c r="E8" s="7"/>
      <c r="F8" s="7"/>
      <c r="G8" s="7"/>
      <c r="H8" s="7"/>
      <c r="I8" s="7"/>
      <c r="J8" s="7"/>
    </row>
    <row r="9" spans="1:10">
      <c r="A9" s="7"/>
      <c r="B9" s="15" t="s">
        <v>37</v>
      </c>
      <c r="C9" s="7"/>
      <c r="D9" s="670" t="s">
        <v>38</v>
      </c>
      <c r="E9" s="670"/>
      <c r="F9" s="670"/>
      <c r="G9" s="7"/>
      <c r="H9" s="7"/>
      <c r="I9" s="7"/>
      <c r="J9" s="7"/>
    </row>
    <row r="10" spans="1:10">
      <c r="A10" s="7"/>
      <c r="B10" s="10" t="s">
        <v>39</v>
      </c>
      <c r="C10" s="7"/>
      <c r="D10" s="669" t="s">
        <v>40</v>
      </c>
      <c r="E10" s="669"/>
      <c r="F10" s="669"/>
      <c r="G10" s="7"/>
      <c r="H10" s="7"/>
      <c r="I10" s="7"/>
      <c r="J10" s="7"/>
    </row>
    <row r="11" spans="1:10">
      <c r="A11" s="7"/>
      <c r="B11" s="11" t="s">
        <v>41</v>
      </c>
      <c r="C11" s="7"/>
      <c r="D11" s="668" t="s">
        <v>42</v>
      </c>
      <c r="E11" s="668"/>
      <c r="F11" s="668"/>
      <c r="G11" s="7"/>
      <c r="H11" s="7"/>
      <c r="I11" s="7"/>
      <c r="J11" s="7"/>
    </row>
    <row r="12" spans="1:10">
      <c r="A12" s="7"/>
      <c r="B12" s="7" t="s">
        <v>43</v>
      </c>
      <c r="C12" s="7"/>
      <c r="D12" s="667" t="s">
        <v>44</v>
      </c>
      <c r="E12" s="667"/>
      <c r="F12" s="667"/>
      <c r="G12" s="7"/>
      <c r="H12" s="7"/>
      <c r="I12" s="7"/>
      <c r="J12" s="7"/>
    </row>
    <row r="14" spans="1:10" ht="15.75">
      <c r="A14" s="7"/>
      <c r="B14" s="8" t="s">
        <v>45</v>
      </c>
      <c r="C14" s="7"/>
      <c r="D14" s="7"/>
      <c r="E14" s="7"/>
      <c r="F14" s="7"/>
      <c r="G14" s="7"/>
      <c r="H14" s="7"/>
      <c r="I14" s="7"/>
      <c r="J14" s="7"/>
    </row>
    <row r="15" spans="1:10">
      <c r="A15" s="7"/>
      <c r="B15" s="672" t="s">
        <v>46</v>
      </c>
      <c r="C15" s="672"/>
      <c r="D15" s="672"/>
      <c r="E15" s="672"/>
      <c r="F15" s="672"/>
      <c r="G15" s="672"/>
      <c r="H15" s="672"/>
      <c r="I15" s="672"/>
      <c r="J15" s="672"/>
    </row>
    <row r="17" spans="2:22" ht="36.75" customHeight="1">
      <c r="B17" s="16" t="s">
        <v>47</v>
      </c>
      <c r="C17" s="673" t="s">
        <v>48</v>
      </c>
      <c r="D17" s="674"/>
      <c r="E17" s="674"/>
      <c r="F17" s="741"/>
      <c r="G17" s="673" t="s">
        <v>49</v>
      </c>
      <c r="H17" s="741"/>
      <c r="I17" s="741"/>
      <c r="J17" s="741"/>
    </row>
    <row r="18" spans="2:22" ht="49.5" customHeight="1">
      <c r="B18" s="17" t="s">
        <v>50</v>
      </c>
      <c r="C18" s="671" t="s">
        <v>51</v>
      </c>
      <c r="D18" s="741"/>
      <c r="E18" s="741"/>
      <c r="F18" s="741"/>
      <c r="G18" s="671" t="s">
        <v>52</v>
      </c>
      <c r="H18" s="675"/>
      <c r="I18" s="675"/>
      <c r="J18" s="741"/>
    </row>
    <row r="19" spans="2:22" ht="56.25" customHeight="1">
      <c r="B19" s="17" t="s">
        <v>53</v>
      </c>
      <c r="C19" s="671" t="s">
        <v>54</v>
      </c>
      <c r="D19" s="741"/>
      <c r="E19" s="741"/>
      <c r="F19" s="741"/>
      <c r="G19" s="671" t="s">
        <v>55</v>
      </c>
      <c r="H19" s="675"/>
      <c r="I19" s="675"/>
      <c r="J19" s="741"/>
      <c r="V19" s="13"/>
    </row>
    <row r="20" spans="2:22" ht="56.25" customHeight="1">
      <c r="B20" s="17" t="s">
        <v>56</v>
      </c>
      <c r="C20" s="671" t="s">
        <v>57</v>
      </c>
      <c r="D20" s="741"/>
      <c r="E20" s="741"/>
      <c r="F20" s="741"/>
      <c r="G20" s="671" t="s">
        <v>58</v>
      </c>
      <c r="H20" s="675"/>
      <c r="I20" s="675"/>
      <c r="J20" s="741"/>
      <c r="V20" s="13"/>
    </row>
    <row r="21" spans="2:22" ht="49.5" customHeight="1">
      <c r="B21" s="17" t="s">
        <v>59</v>
      </c>
      <c r="C21" s="671" t="s">
        <v>60</v>
      </c>
      <c r="D21" s="741"/>
      <c r="E21" s="741"/>
      <c r="F21" s="741"/>
      <c r="G21" s="671" t="s">
        <v>61</v>
      </c>
      <c r="H21" s="675"/>
      <c r="I21" s="675"/>
      <c r="J21" s="741"/>
      <c r="V21" s="107"/>
    </row>
    <row r="22" spans="2:22" ht="49.5" customHeight="1">
      <c r="B22" s="17" t="s">
        <v>62</v>
      </c>
      <c r="C22" s="671" t="s">
        <v>60</v>
      </c>
      <c r="D22" s="741"/>
      <c r="E22" s="741"/>
      <c r="F22" s="741"/>
      <c r="G22" s="671" t="s">
        <v>63</v>
      </c>
      <c r="H22" s="675"/>
      <c r="I22" s="675"/>
      <c r="J22" s="741"/>
      <c r="V22" s="108"/>
    </row>
    <row r="23" spans="2:22" ht="49.5" customHeight="1">
      <c r="B23" s="17" t="s">
        <v>64</v>
      </c>
      <c r="C23" s="671" t="s">
        <v>43</v>
      </c>
      <c r="D23" s="741"/>
      <c r="E23" s="741"/>
      <c r="F23" s="741"/>
      <c r="G23" s="671" t="s">
        <v>65</v>
      </c>
      <c r="H23" s="675"/>
      <c r="I23" s="675"/>
      <c r="J23" s="741"/>
      <c r="V23" s="14"/>
    </row>
    <row r="24" spans="2:22" ht="49.5" customHeight="1">
      <c r="B24" s="17" t="s">
        <v>66</v>
      </c>
      <c r="C24" s="671" t="s">
        <v>67</v>
      </c>
      <c r="D24" s="741"/>
      <c r="E24" s="741"/>
      <c r="F24" s="741"/>
      <c r="G24" s="671" t="s">
        <v>68</v>
      </c>
      <c r="H24" s="675"/>
      <c r="I24" s="675"/>
      <c r="J24" s="741"/>
      <c r="V24" s="14"/>
    </row>
    <row r="25" spans="2:22">
      <c r="T25" s="106"/>
      <c r="U25" s="12"/>
      <c r="V25" s="12"/>
    </row>
    <row r="26" spans="2:22">
      <c r="T26" s="12"/>
      <c r="U26" s="12"/>
      <c r="V26" s="13"/>
    </row>
    <row r="27" spans="2:22">
      <c r="T27" s="12"/>
      <c r="U27" s="12"/>
      <c r="V27" s="25"/>
    </row>
    <row r="28" spans="2:22">
      <c r="T28" s="12"/>
      <c r="U28" s="12"/>
      <c r="V28" s="106"/>
    </row>
    <row r="29" spans="2:22">
      <c r="T29" s="12"/>
      <c r="U29" s="12"/>
      <c r="V29" s="12"/>
    </row>
    <row r="30" spans="2:22">
      <c r="T30" s="12"/>
      <c r="U30" s="106"/>
      <c r="V30" s="12"/>
    </row>
  </sheetData>
  <sheetProtection algorithmName="SHA-512" hashValue="DIFcWb+btl+agkG0G7Z/Yu1vM0dQKYqU+iYVVbCpaOsdTZ7MIzzndSUhyh4qLh/XU1o4fGcp+h68iJs0WhMooQ==" saltValue="aNIDwSY3XU2EJ6XMqyxFCQ==" spinCount="100000" sheet="1" objects="1" scenarios="1"/>
  <mergeCells count="21">
    <mergeCell ref="C22:F22"/>
    <mergeCell ref="G22:J22"/>
    <mergeCell ref="C23:F23"/>
    <mergeCell ref="G23:J23"/>
    <mergeCell ref="C24:F24"/>
    <mergeCell ref="G24:J24"/>
    <mergeCell ref="D12:F12"/>
    <mergeCell ref="D11:F11"/>
    <mergeCell ref="D10:F10"/>
    <mergeCell ref="D9:F9"/>
    <mergeCell ref="C21:F21"/>
    <mergeCell ref="B15:J15"/>
    <mergeCell ref="C17:F17"/>
    <mergeCell ref="G17:J17"/>
    <mergeCell ref="C18:F18"/>
    <mergeCell ref="G18:J18"/>
    <mergeCell ref="C19:F19"/>
    <mergeCell ref="G19:J19"/>
    <mergeCell ref="C20:F20"/>
    <mergeCell ref="G20:J20"/>
    <mergeCell ref="G21:J21"/>
  </mergeCells>
  <dataValidations count="2">
    <dataValidation type="list" allowBlank="1" showInputMessage="1" showErrorMessage="1" errorTitle="DEAP " error="Please select item from drop-down list." sqref="T25" xr:uid="{00000000-0002-0000-0100-000000000000}">
      <formula1>$A$20:$A$22</formula1>
    </dataValidation>
    <dataValidation type="list" allowBlank="1" showInputMessage="1" showErrorMessage="1" errorTitle="DEAP " error="Please select item from drop-down list." sqref="U30" xr:uid="{00000000-0002-0000-0100-000001000000}">
      <formula1>$A$20:$A$21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D628-CB46-4DD6-B229-F11DBA06EFEA}">
  <sheetPr>
    <pageSetUpPr fitToPage="1"/>
  </sheetPr>
  <dimension ref="A1:P29"/>
  <sheetViews>
    <sheetView zoomScale="85" zoomScaleNormal="85" workbookViewId="0">
      <selection activeCell="C5" sqref="C5"/>
    </sheetView>
  </sheetViews>
  <sheetFormatPr defaultColWidth="9.140625" defaultRowHeight="12.75"/>
  <cols>
    <col min="1" max="1" width="9.140625" style="120"/>
    <col min="2" max="2" width="9.85546875" style="120" customWidth="1"/>
    <col min="3" max="3" width="64.5703125" style="120" customWidth="1"/>
    <col min="4" max="16384" width="9.140625" style="120"/>
  </cols>
  <sheetData>
    <row r="1" spans="1:16" s="119" customFormat="1" ht="18">
      <c r="A1" s="118" t="s">
        <v>69</v>
      </c>
    </row>
    <row r="4" spans="1:16">
      <c r="A4" s="121" t="s">
        <v>70</v>
      </c>
    </row>
    <row r="5" spans="1:16">
      <c r="A5" s="120" t="s">
        <v>71</v>
      </c>
      <c r="C5" s="122"/>
      <c r="G5" s="120" t="s">
        <v>23</v>
      </c>
    </row>
    <row r="6" spans="1:16">
      <c r="A6" s="120" t="s">
        <v>72</v>
      </c>
      <c r="C6" s="122" t="s">
        <v>23</v>
      </c>
      <c r="G6" s="123" t="s">
        <v>23</v>
      </c>
    </row>
    <row r="7" spans="1:16">
      <c r="A7" s="120" t="s">
        <v>73</v>
      </c>
      <c r="C7" s="122" t="s">
        <v>23</v>
      </c>
    </row>
    <row r="8" spans="1:16">
      <c r="A8" s="120" t="s">
        <v>74</v>
      </c>
      <c r="C8" s="122" t="s">
        <v>23</v>
      </c>
      <c r="G8" s="120" t="s">
        <v>23</v>
      </c>
    </row>
    <row r="9" spans="1:16">
      <c r="A9" s="120" t="s">
        <v>75</v>
      </c>
      <c r="C9" s="122" t="s">
        <v>23</v>
      </c>
      <c r="G9" s="120" t="s">
        <v>23</v>
      </c>
    </row>
    <row r="10" spans="1:16">
      <c r="C10" s="125"/>
      <c r="E10" s="124"/>
      <c r="F10" s="124"/>
      <c r="G10" s="126" t="s">
        <v>23</v>
      </c>
      <c r="H10" s="124"/>
      <c r="I10" s="124"/>
      <c r="J10" s="124"/>
      <c r="K10" s="124"/>
      <c r="L10" s="124"/>
      <c r="M10" s="124"/>
      <c r="N10" s="124"/>
      <c r="O10" s="124"/>
      <c r="P10" s="124"/>
    </row>
    <row r="11" spans="1:16">
      <c r="A11" s="121" t="s">
        <v>76</v>
      </c>
      <c r="C11" s="125"/>
    </row>
    <row r="12" spans="1:16">
      <c r="A12" s="120" t="s">
        <v>77</v>
      </c>
      <c r="C12" s="122" t="s">
        <v>23</v>
      </c>
    </row>
    <row r="13" spans="1:16">
      <c r="A13" s="120" t="s">
        <v>78</v>
      </c>
      <c r="C13" s="122" t="s">
        <v>23</v>
      </c>
    </row>
    <row r="14" spans="1:16">
      <c r="A14" s="120" t="s">
        <v>79</v>
      </c>
      <c r="C14" s="122" t="s">
        <v>23</v>
      </c>
    </row>
    <row r="15" spans="1:16">
      <c r="A15" s="120" t="s">
        <v>80</v>
      </c>
      <c r="C15" s="122" t="s">
        <v>23</v>
      </c>
    </row>
    <row r="16" spans="1:16">
      <c r="A16" s="120" t="s">
        <v>81</v>
      </c>
      <c r="C16" s="122" t="s">
        <v>23</v>
      </c>
    </row>
    <row r="17" spans="1:4">
      <c r="A17" s="120" t="s">
        <v>72</v>
      </c>
      <c r="C17" s="122" t="s">
        <v>23</v>
      </c>
    </row>
    <row r="18" spans="1:4">
      <c r="C18" s="125"/>
    </row>
    <row r="19" spans="1:4">
      <c r="A19" s="121" t="s">
        <v>82</v>
      </c>
      <c r="C19" s="125"/>
    </row>
    <row r="20" spans="1:4">
      <c r="C20" s="122" t="s">
        <v>23</v>
      </c>
      <c r="D20" s="120" t="s">
        <v>23</v>
      </c>
    </row>
    <row r="21" spans="1:4">
      <c r="C21" s="122" t="s">
        <v>23</v>
      </c>
    </row>
    <row r="22" spans="1:4">
      <c r="C22" s="122" t="s">
        <v>23</v>
      </c>
    </row>
    <row r="23" spans="1:4">
      <c r="C23" s="122" t="s">
        <v>23</v>
      </c>
    </row>
    <row r="24" spans="1:4">
      <c r="C24" s="122" t="s">
        <v>23</v>
      </c>
    </row>
    <row r="25" spans="1:4">
      <c r="C25" s="122" t="s">
        <v>23</v>
      </c>
    </row>
    <row r="26" spans="1:4">
      <c r="C26" s="122" t="s">
        <v>23</v>
      </c>
    </row>
    <row r="27" spans="1:4">
      <c r="C27" s="122" t="s">
        <v>23</v>
      </c>
    </row>
    <row r="28" spans="1:4">
      <c r="C28" s="122" t="s">
        <v>23</v>
      </c>
    </row>
    <row r="29" spans="1:4">
      <c r="C29" s="122" t="s">
        <v>23</v>
      </c>
    </row>
  </sheetData>
  <sheetProtection algorithmName="SHA-512" hashValue="at840pbB9muOwFxRZPIyDeg5bqqQAawV5A+0eojtZecOO3eslCWBfxbJ5xJmNrStO29PoK9Erj5MhE9ulUKLzg==" saltValue="/qViBaHcE3YEH/YL1RECCg==" spinCount="100000" sheet="1" objects="1" scenarios="1"/>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36AE-DB70-4F0D-BEC9-2F202775250B}">
  <dimension ref="A1:FC66"/>
  <sheetViews>
    <sheetView tabSelected="1" topLeftCell="A16" zoomScale="85" zoomScaleNormal="85" workbookViewId="0">
      <selection activeCell="G19" sqref="G19"/>
    </sheetView>
  </sheetViews>
  <sheetFormatPr defaultRowHeight="14.25"/>
  <cols>
    <col min="1" max="1" width="63.85546875" style="185" bestFit="1" customWidth="1"/>
    <col min="2" max="2" width="30.5703125" style="185" customWidth="1"/>
    <col min="3" max="3" width="28.5703125" style="185" customWidth="1"/>
    <col min="4" max="4" width="30.42578125" style="185" customWidth="1"/>
    <col min="5" max="5" width="16.85546875" style="185" customWidth="1"/>
    <col min="6" max="6" width="94.5703125" style="185" customWidth="1"/>
    <col min="7" max="7" width="67.85546875" customWidth="1"/>
    <col min="8" max="8" width="50.5703125" bestFit="1" customWidth="1"/>
  </cols>
  <sheetData>
    <row r="1" spans="1:159" s="115" customFormat="1" ht="39.6" customHeight="1" thickBot="1">
      <c r="A1" s="676" t="s">
        <v>83</v>
      </c>
      <c r="B1" s="677"/>
      <c r="C1" s="677"/>
      <c r="D1" s="677"/>
      <c r="E1" s="677"/>
      <c r="F1" s="677"/>
      <c r="G1" s="171"/>
      <c r="H1" s="172"/>
      <c r="I1" s="172"/>
      <c r="J1" s="113"/>
      <c r="K1" s="113"/>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row>
    <row r="2" spans="1:159" s="114" customFormat="1" ht="19.5" thickBot="1">
      <c r="A2" s="175" t="s">
        <v>84</v>
      </c>
      <c r="B2" s="176" t="s">
        <v>85</v>
      </c>
      <c r="C2" s="176"/>
      <c r="D2" s="176"/>
      <c r="E2" s="176" t="s">
        <v>86</v>
      </c>
      <c r="F2" s="176" t="s">
        <v>87</v>
      </c>
      <c r="G2" s="116"/>
      <c r="H2" s="116"/>
      <c r="I2" s="11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row>
    <row r="3" spans="1:159" ht="30">
      <c r="A3" s="177" t="s">
        <v>88</v>
      </c>
      <c r="B3" s="520"/>
      <c r="C3" s="179"/>
      <c r="D3" s="179"/>
      <c r="E3" s="178" t="s">
        <v>89</v>
      </c>
      <c r="F3" s="179" t="s">
        <v>90</v>
      </c>
      <c r="G3" s="27"/>
      <c r="H3" s="190"/>
      <c r="I3" s="191"/>
    </row>
    <row r="4" spans="1:159" ht="15.75">
      <c r="A4" s="180" t="s">
        <v>91</v>
      </c>
      <c r="B4" s="495"/>
      <c r="C4" s="179"/>
      <c r="D4" s="179"/>
      <c r="E4" s="181" t="s">
        <v>92</v>
      </c>
      <c r="F4" s="179" t="s">
        <v>93</v>
      </c>
      <c r="G4" s="173"/>
      <c r="H4" s="193" t="s">
        <v>94</v>
      </c>
      <c r="I4" s="194">
        <f>(B4*(1-B7)*(1-B8))/I10</f>
        <v>0</v>
      </c>
      <c r="J4" s="194" t="s">
        <v>92</v>
      </c>
    </row>
    <row r="5" spans="1:159" ht="22.35" customHeight="1">
      <c r="A5" s="180" t="s">
        <v>95</v>
      </c>
      <c r="B5" s="495"/>
      <c r="C5" s="179"/>
      <c r="D5" s="179"/>
      <c r="E5" s="178" t="s">
        <v>96</v>
      </c>
      <c r="F5" s="179" t="s">
        <v>97</v>
      </c>
      <c r="G5" s="27"/>
      <c r="H5" s="190"/>
      <c r="I5" s="191"/>
    </row>
    <row r="6" spans="1:159" ht="17.25">
      <c r="A6" s="180" t="s">
        <v>98</v>
      </c>
      <c r="B6" s="495"/>
      <c r="C6" s="179"/>
      <c r="D6" s="179"/>
      <c r="E6" s="178" t="s">
        <v>96</v>
      </c>
      <c r="F6" s="179" t="s">
        <v>97</v>
      </c>
      <c r="G6" s="173"/>
      <c r="H6" s="193"/>
      <c r="I6" s="194"/>
    </row>
    <row r="7" spans="1:159" ht="15.75">
      <c r="A7" s="182" t="s">
        <v>99</v>
      </c>
      <c r="B7" s="496"/>
      <c r="C7" s="179"/>
      <c r="D7" s="179"/>
      <c r="E7" s="178" t="s">
        <v>100</v>
      </c>
      <c r="F7" s="179" t="s">
        <v>101</v>
      </c>
      <c r="G7" s="173"/>
      <c r="H7" s="193"/>
      <c r="I7" s="194"/>
    </row>
    <row r="8" spans="1:159" ht="15.75">
      <c r="A8" s="183" t="s">
        <v>102</v>
      </c>
      <c r="B8" s="495"/>
      <c r="C8" s="179"/>
      <c r="D8" s="179"/>
      <c r="E8" s="178" t="s">
        <v>103</v>
      </c>
      <c r="F8" s="179" t="s">
        <v>101</v>
      </c>
      <c r="G8" s="173"/>
      <c r="H8" s="193"/>
      <c r="I8" s="194"/>
    </row>
    <row r="9" spans="1:159" ht="15.75">
      <c r="A9" s="180" t="s">
        <v>104</v>
      </c>
      <c r="B9" s="495"/>
      <c r="C9" s="179"/>
      <c r="D9" s="179"/>
      <c r="E9" s="181" t="s">
        <v>92</v>
      </c>
      <c r="F9" s="179" t="s">
        <v>105</v>
      </c>
      <c r="G9" s="173"/>
      <c r="H9" s="193" t="s">
        <v>94</v>
      </c>
      <c r="I9" s="194">
        <f>B9*(1-B8)/I10</f>
        <v>0</v>
      </c>
      <c r="J9" s="194" t="s">
        <v>92</v>
      </c>
    </row>
    <row r="10" spans="1:159" ht="15.75">
      <c r="A10" s="183" t="s">
        <v>106</v>
      </c>
      <c r="B10" s="497" t="s">
        <v>107</v>
      </c>
      <c r="C10" s="179"/>
      <c r="D10" s="179"/>
      <c r="E10" s="178"/>
      <c r="F10" s="179" t="s">
        <v>108</v>
      </c>
      <c r="G10" s="173"/>
      <c r="H10" s="192" t="s">
        <v>109</v>
      </c>
      <c r="I10" s="192">
        <f>IF(OR(I19=FALSE,B10="Yes"),1,0.9)</f>
        <v>0.9</v>
      </c>
    </row>
    <row r="11" spans="1:159" ht="15.75">
      <c r="A11" s="183" t="s">
        <v>110</v>
      </c>
      <c r="B11" s="495">
        <v>1.75</v>
      </c>
      <c r="C11" s="179"/>
      <c r="D11" s="179"/>
      <c r="E11" s="181"/>
      <c r="F11" s="179" t="s">
        <v>111</v>
      </c>
      <c r="G11" s="173"/>
      <c r="H11" s="193" t="s">
        <v>112</v>
      </c>
      <c r="I11" s="194">
        <f>I9+I4</f>
        <v>0</v>
      </c>
      <c r="J11" s="194" t="s">
        <v>92</v>
      </c>
    </row>
    <row r="12" spans="1:159" ht="15.75" thickBot="1">
      <c r="A12" s="184" t="s">
        <v>113</v>
      </c>
      <c r="B12" s="521"/>
      <c r="C12" s="179"/>
      <c r="D12" s="179"/>
      <c r="E12" s="181" t="s">
        <v>114</v>
      </c>
      <c r="F12" s="179" t="s">
        <v>115</v>
      </c>
      <c r="G12" s="173"/>
      <c r="H12" s="173"/>
      <c r="I12" s="173"/>
    </row>
    <row r="13" spans="1:159" s="114" customFormat="1" ht="15.75" thickBot="1">
      <c r="A13" s="175" t="s">
        <v>84</v>
      </c>
      <c r="B13" s="241" t="s">
        <v>116</v>
      </c>
      <c r="C13" s="241" t="s">
        <v>117</v>
      </c>
      <c r="D13" s="241" t="s">
        <v>118</v>
      </c>
      <c r="E13" s="241"/>
      <c r="F13" s="241"/>
      <c r="G13" s="241"/>
      <c r="H13" s="241"/>
      <c r="I13" s="241">
        <v>1</v>
      </c>
      <c r="J13" s="241">
        <v>2</v>
      </c>
      <c r="K13" s="241">
        <v>3</v>
      </c>
      <c r="L13" s="241" t="s">
        <v>119</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row>
    <row r="14" spans="1:159" ht="18.600000000000001" customHeight="1">
      <c r="A14" s="498" t="s">
        <v>120</v>
      </c>
      <c r="B14" s="520" t="s">
        <v>121</v>
      </c>
      <c r="C14" s="520" t="s">
        <v>121</v>
      </c>
      <c r="D14" s="520" t="s">
        <v>121</v>
      </c>
      <c r="E14" s="178"/>
      <c r="F14" s="179"/>
      <c r="G14" s="27"/>
      <c r="H14" s="190" t="s">
        <v>122</v>
      </c>
      <c r="I14" s="192" t="b">
        <f t="shared" ref="I14:K15" si="0">IF(B14="None",FALSE,TRUE)</f>
        <v>1</v>
      </c>
      <c r="J14" s="192" t="b">
        <f t="shared" si="0"/>
        <v>1</v>
      </c>
      <c r="K14" s="192" t="b">
        <f t="shared" si="0"/>
        <v>1</v>
      </c>
      <c r="L14" s="192" t="b">
        <f>IF(OR(I14,J14,K14),TRUE,FALSE)</f>
        <v>1</v>
      </c>
    </row>
    <row r="15" spans="1:159" ht="19.350000000000001" customHeight="1">
      <c r="A15" s="498" t="s">
        <v>123</v>
      </c>
      <c r="B15" s="520" t="s">
        <v>121</v>
      </c>
      <c r="C15" s="520" t="s">
        <v>121</v>
      </c>
      <c r="D15" s="520" t="s">
        <v>121</v>
      </c>
      <c r="E15" s="178"/>
      <c r="F15" s="179"/>
      <c r="G15" s="27"/>
      <c r="H15" s="190" t="s">
        <v>124</v>
      </c>
      <c r="I15" s="192" t="b">
        <f t="shared" si="0"/>
        <v>1</v>
      </c>
      <c r="J15" s="192" t="b">
        <f t="shared" si="0"/>
        <v>1</v>
      </c>
      <c r="K15" s="192" t="b">
        <f t="shared" si="0"/>
        <v>1</v>
      </c>
      <c r="L15" s="192" t="b">
        <f>IF(OR(I15,J15,K15),TRUE,FALSE)</f>
        <v>1</v>
      </c>
    </row>
    <row r="16" spans="1:159" ht="31.35" customHeight="1">
      <c r="A16" s="498" t="s">
        <v>125</v>
      </c>
      <c r="B16" s="496">
        <v>1</v>
      </c>
      <c r="C16" s="496">
        <v>0</v>
      </c>
      <c r="D16" s="496">
        <v>0</v>
      </c>
      <c r="E16" s="287" t="str">
        <f>IF(L14,"Total percentage="&amp;SUM(B16:D16)*100&amp;"%","No space heating")</f>
        <v>Total percentage=100%</v>
      </c>
      <c r="F16" s="179" t="str">
        <f>IF(L14,IF(D16+C16+B16&gt;1,"Error: maximum is 100%",IF($I$19=FALSE,IF(B16+C16+D16&lt;1,"Error: heat pump expected to provide 100% of main space heating", L16),L16)),L16)</f>
        <v>Source proportions of space heat from plant design details or operational records</v>
      </c>
      <c r="G16" s="27"/>
      <c r="H16" s="190" t="s">
        <v>126</v>
      </c>
      <c r="I16" s="512" t="e">
        <f>I4*(B16+C16+D16)/$I$11</f>
        <v>#DIV/0!</v>
      </c>
      <c r="L16" s="192" t="s">
        <v>127</v>
      </c>
    </row>
    <row r="17" spans="1:12" ht="37.35" customHeight="1">
      <c r="A17" s="498" t="s">
        <v>128</v>
      </c>
      <c r="B17" s="496">
        <v>1</v>
      </c>
      <c r="C17" s="496">
        <v>0</v>
      </c>
      <c r="D17" s="496">
        <v>0</v>
      </c>
      <c r="E17" s="287" t="str">
        <f>IF(L15,"Total percentage="&amp;SUM(B17:D17)*100&amp;"%","No water heating")</f>
        <v>Total percentage=100%</v>
      </c>
      <c r="F17" s="179" t="str">
        <f>IF(L15,IF(D17+C17+B17&gt;1,"Error: maximum is 100%",IF($I$19=FALSE,IF(B17+C17+D17&lt;1,"Error: heat pump expected to provide 100% of main water heating", L17),L17)),L17)</f>
        <v>Source proportions of water heat from plant design details or operational records</v>
      </c>
      <c r="G17" s="27"/>
      <c r="H17" s="190" t="s">
        <v>129</v>
      </c>
      <c r="I17" s="512" t="e">
        <f>I9*(B17+C17+D17)/$I$11</f>
        <v>#DIV/0!</v>
      </c>
      <c r="L17" s="192" t="s">
        <v>130</v>
      </c>
    </row>
    <row r="18" spans="1:12" ht="37.35" customHeight="1">
      <c r="A18" s="498" t="s">
        <v>131</v>
      </c>
      <c r="B18" s="497" t="s">
        <v>107</v>
      </c>
      <c r="C18" s="497" t="s">
        <v>107</v>
      </c>
      <c r="D18" s="497" t="s">
        <v>107</v>
      </c>
      <c r="E18" s="288"/>
      <c r="F18" s="179" t="s">
        <v>132</v>
      </c>
      <c r="G18" s="27"/>
      <c r="H18" s="190"/>
      <c r="I18" s="192"/>
    </row>
    <row r="19" spans="1:12" ht="30" customHeight="1">
      <c r="A19" s="499" t="s">
        <v>133</v>
      </c>
      <c r="B19" s="497" t="s">
        <v>134</v>
      </c>
      <c r="C19" s="497" t="s">
        <v>107</v>
      </c>
      <c r="D19" s="497" t="s">
        <v>107</v>
      </c>
      <c r="E19" s="179" t="str">
        <f>IF(OR(B19="Yes",C19="Yes",D19="Yes"),"Group heating applies","Individual heating applies")</f>
        <v>Group heating applies</v>
      </c>
      <c r="F19" s="179" t="s">
        <v>135</v>
      </c>
      <c r="G19" s="27"/>
      <c r="H19" s="193" t="s">
        <v>136</v>
      </c>
      <c r="I19" s="193" t="b">
        <f>IF(OR(B19="Yes",C19="Yes",D19="Yes"),TRUE,FALSE)</f>
        <v>1</v>
      </c>
    </row>
    <row r="20" spans="1:12" ht="30.75" thickBot="1">
      <c r="A20" s="500" t="s">
        <v>137</v>
      </c>
      <c r="B20" s="495"/>
      <c r="C20" s="495"/>
      <c r="D20" s="495"/>
      <c r="E20" s="178" t="s">
        <v>138</v>
      </c>
      <c r="F20" s="179" t="s">
        <v>139</v>
      </c>
      <c r="G20" s="174"/>
      <c r="H20" s="195"/>
      <c r="I20" s="193"/>
      <c r="K20" s="6"/>
    </row>
    <row r="21" spans="1:12" ht="33.6" customHeight="1" thickBot="1">
      <c r="A21" s="676" t="s">
        <v>140</v>
      </c>
      <c r="B21" s="677"/>
      <c r="C21" s="677"/>
      <c r="D21" s="677"/>
      <c r="E21" s="677"/>
      <c r="F21" s="678"/>
    </row>
    <row r="22" spans="1:12" ht="42" customHeight="1" thickBot="1">
      <c r="A22" s="175" t="s">
        <v>84</v>
      </c>
      <c r="B22" s="226" t="str">
        <f ca="1">IFERROR(IF((B58+C58+D58)&gt;0,"ERROR. Check all data entries",""),"")</f>
        <v/>
      </c>
      <c r="C22" s="510" t="str">
        <f ca="1">IFERROR(B23+B36+B25+B58+C58+D58,"Error: check entries")</f>
        <v>Error: check entries</v>
      </c>
      <c r="D22" s="226"/>
      <c r="E22" s="176" t="s">
        <v>86</v>
      </c>
      <c r="F22" s="176" t="s">
        <v>87</v>
      </c>
      <c r="G22" s="116"/>
      <c r="H22" s="116"/>
      <c r="I22" s="116"/>
      <c r="J22" s="114"/>
      <c r="K22" s="114"/>
    </row>
    <row r="23" spans="1:12" ht="30">
      <c r="A23" s="501" t="s">
        <v>141</v>
      </c>
      <c r="B23" s="502" t="e">
        <f>IF(I16&gt;0,SUMPRODUCT(B16:D16,B48:D48) / SUM(B16:D16),0)</f>
        <v>#DIV/0!</v>
      </c>
      <c r="C23" s="503"/>
      <c r="D23" s="503"/>
      <c r="E23" s="181" t="s">
        <v>142</v>
      </c>
      <c r="F23" s="179" t="s">
        <v>143</v>
      </c>
      <c r="G23" s="27"/>
      <c r="H23" s="27"/>
      <c r="I23" s="32"/>
    </row>
    <row r="24" spans="1:12" ht="58.35" customHeight="1">
      <c r="A24" s="182" t="s">
        <v>144</v>
      </c>
      <c r="B24" s="504" t="str">
        <f>IF(HP_1!G11=HP_1!$Q$2,HP_1!$W$2,HP_1!$W$3&amp;" or 
"&amp;HP_1!$W$4)</f>
        <v>Electricity</v>
      </c>
      <c r="C24" s="503"/>
      <c r="D24" s="503"/>
      <c r="E24" s="181"/>
      <c r="F24" s="179" t="s">
        <v>145</v>
      </c>
      <c r="H24" s="27"/>
      <c r="I24" s="32"/>
    </row>
    <row r="25" spans="1:12" ht="47.1" customHeight="1">
      <c r="A25" s="182" t="s">
        <v>146</v>
      </c>
      <c r="B25" s="505" t="e">
        <f>IF(I17&gt;0,SUMPRODUCT(B50:D50,B17:D17)/SUM(B17:D17),0)</f>
        <v>#DIV/0!</v>
      </c>
      <c r="C25" s="503"/>
      <c r="D25" s="503"/>
      <c r="E25" s="181" t="s">
        <v>142</v>
      </c>
      <c r="F25" s="179" t="s">
        <v>147</v>
      </c>
      <c r="H25" s="27"/>
      <c r="I25" s="32"/>
    </row>
    <row r="26" spans="1:12" ht="45">
      <c r="A26" s="182" t="s">
        <v>148</v>
      </c>
      <c r="B26" s="504" t="str">
        <f>IF(HP_1!G63=HP_1!$Q$2,HP_1!$W$2,HP_1!$W$3&amp;" or "&amp;HP_1!$W$4)</f>
        <v>Electricity</v>
      </c>
      <c r="C26" s="503"/>
      <c r="D26" s="503"/>
      <c r="E26" s="181"/>
      <c r="F26" s="179" t="s">
        <v>149</v>
      </c>
      <c r="H26" s="27"/>
      <c r="I26" s="32"/>
    </row>
    <row r="27" spans="1:12" ht="47.1" customHeight="1">
      <c r="A27" s="182" t="s">
        <v>150</v>
      </c>
      <c r="B27" s="516">
        <v>1</v>
      </c>
      <c r="C27" s="503"/>
      <c r="D27" s="503"/>
      <c r="E27" s="181"/>
      <c r="F27" s="179" t="s">
        <v>151</v>
      </c>
      <c r="H27" s="27"/>
      <c r="I27" s="32"/>
    </row>
    <row r="28" spans="1:12" ht="60">
      <c r="A28" s="182" t="s">
        <v>152</v>
      </c>
      <c r="B28" s="506" t="e">
        <f>IF($I$19,I16,"n/a for individual system")</f>
        <v>#DIV/0!</v>
      </c>
      <c r="C28" s="503"/>
      <c r="D28" s="503"/>
      <c r="E28" s="181" t="s">
        <v>142</v>
      </c>
      <c r="F28" s="179" t="s">
        <v>153</v>
      </c>
    </row>
    <row r="29" spans="1:12" ht="60">
      <c r="A29" s="507" t="s">
        <v>154</v>
      </c>
      <c r="B29" s="506" t="e">
        <f>IF($I$19,I17,"n/a for individual system")</f>
        <v>#DIV/0!</v>
      </c>
      <c r="C29" s="503"/>
      <c r="D29" s="503"/>
      <c r="E29" s="181" t="s">
        <v>142</v>
      </c>
      <c r="F29" s="179" t="s">
        <v>155</v>
      </c>
    </row>
    <row r="30" spans="1:12" ht="87.6" customHeight="1">
      <c r="A30" s="508" t="s">
        <v>156</v>
      </c>
      <c r="B30" s="509" t="str">
        <f>B59</f>
        <v/>
      </c>
      <c r="C30" s="509" t="str">
        <f ca="1">C59</f>
        <v/>
      </c>
      <c r="D30" s="509" t="str">
        <f ca="1">D59</f>
        <v/>
      </c>
      <c r="E30"/>
      <c r="F30" s="179" t="s">
        <v>157</v>
      </c>
    </row>
    <row r="31" spans="1:12" ht="119.45" customHeight="1">
      <c r="A31" s="508" t="s">
        <v>156</v>
      </c>
      <c r="B31" s="509" t="e">
        <f>B60&amp;B61</f>
        <v>#DIV/0!</v>
      </c>
      <c r="C31" s="509" t="e">
        <f ca="1">C60&amp;C61</f>
        <v>#VALUE!</v>
      </c>
      <c r="D31" s="509" t="e">
        <f ca="1">D60&amp;D61</f>
        <v>#VALUE!</v>
      </c>
      <c r="F31" s="179" t="s">
        <v>158</v>
      </c>
    </row>
    <row r="32" spans="1:12" ht="42.6" customHeight="1">
      <c r="A32" s="508" t="s">
        <v>156</v>
      </c>
      <c r="B32" s="679" t="str">
        <f ca="1">IF(E56&gt;1,"Error: No more than one heat pump can use water heating test data with test standard option I.S. EN 14825/14511","")</f>
        <v/>
      </c>
      <c r="C32" s="679"/>
      <c r="D32" s="679"/>
      <c r="F32" s="179" t="s">
        <v>159</v>
      </c>
    </row>
    <row r="33" spans="1:10" ht="29.1" customHeight="1">
      <c r="A33" s="508" t="s">
        <v>156</v>
      </c>
      <c r="B33" s="679" t="str">
        <f ca="1">IF(E64&gt;0,"Error: System using GAHP and electric heat pumps. System must use either all electric heat pumps or all GAHP.","")</f>
        <v/>
      </c>
      <c r="C33" s="679"/>
      <c r="D33" s="679"/>
      <c r="F33" s="179" t="s">
        <v>160</v>
      </c>
    </row>
    <row r="34" spans="1:10" ht="28.35" customHeight="1" thickBot="1">
      <c r="A34" s="508" t="s">
        <v>156</v>
      </c>
      <c r="B34" s="679" t="str">
        <f ca="1">IF(AND(B65,B66),"Error: I.S. EN 14825/14511 based test data used as the sole means of meeting 100% of main water heating. Needs to be accompanied by another heat pump using water heating standards.","")</f>
        <v/>
      </c>
      <c r="C34" s="679"/>
      <c r="D34" s="679"/>
      <c r="F34" s="179" t="s">
        <v>161</v>
      </c>
    </row>
    <row r="35" spans="1:10" ht="51.6" customHeight="1" thickBot="1">
      <c r="A35" s="676" t="s">
        <v>162</v>
      </c>
      <c r="B35" s="677"/>
      <c r="C35" s="677"/>
      <c r="D35" s="677"/>
      <c r="E35" s="677"/>
      <c r="F35" s="678"/>
    </row>
    <row r="36" spans="1:10" ht="38.1" customHeight="1">
      <c r="A36" s="182" t="s">
        <v>163</v>
      </c>
      <c r="B36" s="504" t="e">
        <f>SUM(B52:D53)</f>
        <v>#DIV/0!</v>
      </c>
      <c r="C36" s="503"/>
      <c r="D36" s="503"/>
      <c r="E36" s="181" t="s">
        <v>164</v>
      </c>
      <c r="F36" s="179" t="s">
        <v>165</v>
      </c>
      <c r="H36" s="27"/>
      <c r="I36" s="32"/>
    </row>
    <row r="37" spans="1:10" ht="15">
      <c r="A37" s="180" t="s">
        <v>166</v>
      </c>
      <c r="B37" s="495"/>
      <c r="C37" s="179"/>
      <c r="D37" s="179"/>
      <c r="E37" s="181" t="s">
        <v>164</v>
      </c>
      <c r="F37" s="179" t="s">
        <v>167</v>
      </c>
      <c r="H37" s="193" t="s">
        <v>168</v>
      </c>
      <c r="I37" s="515" t="e">
        <f>B37/B38</f>
        <v>#DIV/0!</v>
      </c>
    </row>
    <row r="38" spans="1:10" ht="15.75">
      <c r="A38" s="180" t="s">
        <v>169</v>
      </c>
      <c r="B38" s="495"/>
      <c r="C38" s="179"/>
      <c r="D38" s="179"/>
      <c r="E38" s="181" t="s">
        <v>164</v>
      </c>
      <c r="F38" s="179" t="s">
        <v>167</v>
      </c>
      <c r="H38" s="193" t="s">
        <v>170</v>
      </c>
      <c r="I38" s="515" t="e">
        <f>B37+B36</f>
        <v>#DIV/0!</v>
      </c>
      <c r="J38" s="194"/>
    </row>
    <row r="39" spans="1:10" ht="30">
      <c r="A39" s="180" t="s">
        <v>171</v>
      </c>
      <c r="B39" s="517">
        <f>IFERROR(I38/(I39),0)</f>
        <v>0</v>
      </c>
      <c r="C39" s="179"/>
      <c r="D39" s="179"/>
      <c r="E39" s="181" t="s">
        <v>172</v>
      </c>
      <c r="F39" s="179" t="s">
        <v>173</v>
      </c>
      <c r="H39" s="193" t="s">
        <v>174</v>
      </c>
      <c r="I39" s="515" t="e">
        <f>B38+B36</f>
        <v>#DIV/0!</v>
      </c>
    </row>
    <row r="40" spans="1:10" ht="15">
      <c r="A40"/>
      <c r="B40"/>
      <c r="C40" s="179"/>
      <c r="D40" s="179"/>
      <c r="E40" s="181"/>
      <c r="F40" s="179"/>
    </row>
    <row r="41" spans="1:10" ht="15">
      <c r="A41"/>
      <c r="B41"/>
      <c r="C41" s="179"/>
      <c r="D41" s="179"/>
      <c r="E41" s="181"/>
      <c r="F41" s="179"/>
    </row>
    <row r="42" spans="1:10" ht="15">
      <c r="A42"/>
      <c r="B42"/>
      <c r="C42" s="179"/>
      <c r="D42" s="179"/>
      <c r="E42" s="181"/>
      <c r="F42" s="179"/>
    </row>
    <row r="43" spans="1:10" ht="15">
      <c r="A43"/>
      <c r="B43"/>
      <c r="C43" s="179"/>
      <c r="D43" s="179"/>
      <c r="E43" s="181"/>
      <c r="F43" s="179"/>
    </row>
    <row r="44" spans="1:10" ht="15">
      <c r="A44"/>
      <c r="B44"/>
      <c r="C44" s="179"/>
      <c r="D44" s="179"/>
      <c r="E44" s="181"/>
      <c r="F44" s="179"/>
    </row>
    <row r="45" spans="1:10" ht="15">
      <c r="A45"/>
      <c r="B45"/>
      <c r="C45" s="179"/>
      <c r="D45" s="179"/>
      <c r="E45" s="181"/>
      <c r="F45" s="179"/>
    </row>
    <row r="46" spans="1:10" ht="15">
      <c r="A46" s="269" t="s">
        <v>175</v>
      </c>
      <c r="B46" s="269" t="s">
        <v>116</v>
      </c>
      <c r="C46" s="269" t="s">
        <v>117</v>
      </c>
      <c r="D46" s="269" t="s">
        <v>118</v>
      </c>
      <c r="E46" s="269" t="s">
        <v>176</v>
      </c>
      <c r="F46" s="354" t="s">
        <v>177</v>
      </c>
      <c r="G46" s="354" t="s">
        <v>178</v>
      </c>
      <c r="H46" s="354" t="s">
        <v>179</v>
      </c>
      <c r="I46" s="354" t="s">
        <v>180</v>
      </c>
    </row>
    <row r="47" spans="1:10" ht="15.75">
      <c r="A47" s="196" t="s">
        <v>181</v>
      </c>
      <c r="B47" s="356" t="str">
        <f>RIGHT(B46)</f>
        <v>1</v>
      </c>
      <c r="C47" s="356" t="str">
        <f>RIGHT(C46)</f>
        <v>2</v>
      </c>
      <c r="D47" s="356" t="str">
        <f>RIGHT(D46)</f>
        <v>3</v>
      </c>
      <c r="E47" s="48"/>
      <c r="F47" s="354"/>
      <c r="G47" s="355"/>
      <c r="H47" s="355"/>
    </row>
    <row r="48" spans="1:10" ht="15.75">
      <c r="A48" s="196" t="s">
        <v>141</v>
      </c>
      <c r="B48" s="356" t="e">
        <f>IF(B14="none",0,HP_1!$B106)</f>
        <v>#DIV/0!</v>
      </c>
      <c r="C48" s="356" t="e" cm="1">
        <f t="array" aca="1" ref="C48" ca="1">IF(C$14="none",0,INDIRECT($F48&amp;C$47&amp;"!"&amp;$G48))</f>
        <v>#VALUE!</v>
      </c>
      <c r="D48" s="356" t="e" cm="1">
        <f t="array" aca="1" ref="D48" ca="1">IF(D$14="none",0,INDIRECT($F48&amp;D$47&amp;"!"&amp;$G48))</f>
        <v>#VALUE!</v>
      </c>
      <c r="E48" s="48" t="s">
        <v>100</v>
      </c>
      <c r="F48" s="354" t="str">
        <f ca="1">MID(H48,FIND("HP",H48),3)</f>
        <v>HP_</v>
      </c>
      <c r="G48" s="354" t="str">
        <f ca="1">RIGHT(I48,LEN(I48)-FIND("!",I48))</f>
        <v>$B106</v>
      </c>
      <c r="H48" s="355" t="str">
        <f ca="1">SUBSTITUTE( _xlfn.FORMULATEXT(B48),"=","")</f>
        <v>IF(B14"none",0,HP_1!$B106)</v>
      </c>
      <c r="I48" s="355" t="str">
        <f ca="1">SUBSTITUTE( H48,")","")</f>
        <v>IF(B14"none",0,HP_1!$B106</v>
      </c>
    </row>
    <row r="49" spans="1:9" ht="15.75">
      <c r="A49" s="196" t="s">
        <v>182</v>
      </c>
      <c r="B49" s="357">
        <f>IF(B14="none",0,HP_1!$B107)</f>
        <v>1</v>
      </c>
      <c r="C49" s="513" cm="1">
        <f t="array" aca="1" ref="C49" ca="1">IF(C$14="none",0,INDIRECT($F49&amp;C$47&amp;"!"&amp;$G49))</f>
        <v>1</v>
      </c>
      <c r="D49" s="513" cm="1">
        <f t="array" aca="1" ref="D49" ca="1">IF(D$14="none",0,INDIRECT($F49&amp;D$47&amp;"!"&amp;$G49))</f>
        <v>1</v>
      </c>
      <c r="E49" s="48"/>
      <c r="F49" s="354" t="str">
        <f t="shared" ref="F49:F58" ca="1" si="1">MID(H49,FIND("HP",H49),3)</f>
        <v>HP_</v>
      </c>
      <c r="G49" s="354" t="str">
        <f t="shared" ref="G49:G58" ca="1" si="2">RIGHT(I49,LEN(I49)-FIND("!",I49))</f>
        <v>$B107</v>
      </c>
      <c r="H49" s="355" t="str">
        <f t="shared" ref="H49:H58" ca="1" si="3">SUBSTITUTE( _xlfn.FORMULATEXT(B49),"=","")</f>
        <v>IF(B14"none",0,HP_1!$B107)</v>
      </c>
      <c r="I49" s="355" t="str">
        <f t="shared" ref="I49:I58" ca="1" si="4">SUBSTITUTE( H49,")","")</f>
        <v>IF(B14"none",0,HP_1!$B107</v>
      </c>
    </row>
    <row r="50" spans="1:9" ht="15.75">
      <c r="A50" s="196" t="s">
        <v>146</v>
      </c>
      <c r="B50" s="356" t="e">
        <f>IF(B15="none",0,HP_1!$B108)</f>
        <v>#DIV/0!</v>
      </c>
      <c r="C50" s="356" t="e" cm="1">
        <f t="array" aca="1" ref="C50" ca="1">IF(C$15="none",0,INDIRECT($F50&amp;C$47&amp;"!"&amp;$G50))</f>
        <v>#DIV/0!</v>
      </c>
      <c r="D50" s="356" t="e" cm="1">
        <f t="array" aca="1" ref="D50" ca="1">IF(D$15="none",0,INDIRECT($F50&amp;D$47&amp;"!"&amp;$G50))</f>
        <v>#DIV/0!</v>
      </c>
      <c r="E50" s="48" t="s">
        <v>100</v>
      </c>
      <c r="F50" s="354" t="str">
        <f t="shared" ca="1" si="1"/>
        <v>HP_</v>
      </c>
      <c r="G50" s="354" t="str">
        <f t="shared" ca="1" si="2"/>
        <v>$B108</v>
      </c>
      <c r="H50" s="355" t="str">
        <f t="shared" ca="1" si="3"/>
        <v>IF(B15"none",0,HP_1!$B108)</v>
      </c>
      <c r="I50" s="355" t="str">
        <f t="shared" ca="1" si="4"/>
        <v>IF(B15"none",0,HP_1!$B108</v>
      </c>
    </row>
    <row r="51" spans="1:9" ht="15.75">
      <c r="A51" s="196" t="s">
        <v>183</v>
      </c>
      <c r="B51" s="357">
        <f>IF(B15="none",0,HP_1!$B109)</f>
        <v>1</v>
      </c>
      <c r="C51" s="513" cm="1">
        <f t="array" aca="1" ref="C51" ca="1">IF(C$15="none",0,INDIRECT($F51&amp;C$47&amp;"!"&amp;$G51))</f>
        <v>1</v>
      </c>
      <c r="D51" s="513" cm="1">
        <f t="array" aca="1" ref="D51" ca="1">IF(D$15="none",0,INDIRECT($F51&amp;D$47&amp;"!"&amp;$G51))</f>
        <v>1</v>
      </c>
      <c r="E51" s="48"/>
      <c r="F51" s="354" t="str">
        <f t="shared" ca="1" si="1"/>
        <v>HP_</v>
      </c>
      <c r="G51" s="354" t="str">
        <f t="shared" ca="1" si="2"/>
        <v>$B109</v>
      </c>
      <c r="H51" s="355" t="str">
        <f t="shared" ca="1" si="3"/>
        <v>IF(B15"none",0,HP_1!$B109)</v>
      </c>
      <c r="I51" s="355" t="str">
        <f t="shared" ca="1" si="4"/>
        <v>IF(B15"none",0,HP_1!$B109</v>
      </c>
    </row>
    <row r="52" spans="1:9" ht="15.75">
      <c r="A52" s="196" t="s">
        <v>184</v>
      </c>
      <c r="B52" s="358" t="e">
        <f>IF(B14="none",0,HP_1!$F127)</f>
        <v>#DIV/0!</v>
      </c>
      <c r="C52" s="358" t="e" cm="1">
        <f t="array" aca="1" ref="C52" ca="1">IF(C$14="none",0,INDIRECT($F52&amp;C$47&amp;"!"&amp;$G52))</f>
        <v>#VALUE!</v>
      </c>
      <c r="D52" s="358" t="e" cm="1">
        <f t="array" aca="1" ref="D52" ca="1">IF(D$14="none",0,INDIRECT($F52&amp;D$47&amp;"!"&amp;$G52))</f>
        <v>#VALUE!</v>
      </c>
      <c r="E52" s="48" t="s">
        <v>92</v>
      </c>
      <c r="F52" s="354" t="str">
        <f t="shared" ca="1" si="1"/>
        <v>HP_</v>
      </c>
      <c r="G52" s="354" t="str">
        <f t="shared" ca="1" si="2"/>
        <v>$F127</v>
      </c>
      <c r="H52" s="355" t="str">
        <f t="shared" ca="1" si="3"/>
        <v>IF(B14"none",0,HP_1!$F127)</v>
      </c>
      <c r="I52" s="355" t="str">
        <f t="shared" ca="1" si="4"/>
        <v>IF(B14"none",0,HP_1!$F127</v>
      </c>
    </row>
    <row r="53" spans="1:9" ht="15.75">
      <c r="A53" s="196" t="s">
        <v>185</v>
      </c>
      <c r="B53" s="358" t="e">
        <f>IF(B15="none",0,HP_1!$F128)</f>
        <v>#DIV/0!</v>
      </c>
      <c r="C53" s="513" t="e" cm="1">
        <f t="array" aca="1" ref="C53" ca="1">IF(C$15="none",0,INDIRECT($F53&amp;C$47&amp;"!"&amp;$G53))</f>
        <v>#DIV/0!</v>
      </c>
      <c r="D53" s="513" t="e" cm="1">
        <f t="array" aca="1" ref="D53" ca="1">IF(D$15="none",0,INDIRECT($F53&amp;D$47&amp;"!"&amp;$G53))</f>
        <v>#DIV/0!</v>
      </c>
      <c r="E53" s="48" t="s">
        <v>92</v>
      </c>
      <c r="F53" s="354" t="str">
        <f t="shared" ca="1" si="1"/>
        <v>HP_</v>
      </c>
      <c r="G53" s="354" t="str">
        <f t="shared" ca="1" si="2"/>
        <v>$F128</v>
      </c>
      <c r="H53" s="355" t="str">
        <f t="shared" ca="1" si="3"/>
        <v>IF(B15"none",0,HP_1!$F128)</v>
      </c>
      <c r="I53" s="355" t="str">
        <f t="shared" ca="1" si="4"/>
        <v>IF(B15"none",0,HP_1!$F128</v>
      </c>
    </row>
    <row r="54" spans="1:9" ht="27.6" customHeight="1">
      <c r="A54" s="270" t="s">
        <v>186</v>
      </c>
      <c r="B54" s="359" t="e">
        <f>IF(B14="none",0,HP_1!$B115)</f>
        <v>#DIV/0!</v>
      </c>
      <c r="C54" s="356" t="e" cm="1">
        <f t="array" aca="1" ref="C54" ca="1">IF(C$14="none",0,INDIRECT($F54&amp;C$47&amp;"!"&amp;$G54))</f>
        <v>#VALUE!</v>
      </c>
      <c r="D54" s="356" t="e" cm="1">
        <f t="array" aca="1" ref="D54" ca="1">IF(D$14="none",0,INDIRECT($F54&amp;D$47&amp;"!"&amp;$G54))</f>
        <v>#VALUE!</v>
      </c>
      <c r="E54" s="48" t="s">
        <v>100</v>
      </c>
      <c r="F54" s="354" t="str">
        <f t="shared" ca="1" si="1"/>
        <v>HP_</v>
      </c>
      <c r="G54" s="354" t="str">
        <f t="shared" ca="1" si="2"/>
        <v>$B115</v>
      </c>
      <c r="H54" s="355" t="str">
        <f t="shared" ca="1" si="3"/>
        <v>IF(B14"none",0,HP_1!$B115)</v>
      </c>
      <c r="I54" s="355" t="str">
        <f t="shared" ca="1" si="4"/>
        <v>IF(B14"none",0,HP_1!$B115</v>
      </c>
    </row>
    <row r="55" spans="1:9" ht="32.1" customHeight="1">
      <c r="A55" s="270" t="s">
        <v>187</v>
      </c>
      <c r="B55" s="359" t="e">
        <f>IF(B15="none",0,HP_1!$B116)</f>
        <v>#VALUE!</v>
      </c>
      <c r="C55" s="356" cm="1">
        <f t="array" aca="1" ref="C55" ca="1">IF(C$15="none",0,INDIRECT($F55&amp;C$47&amp;"!"&amp;$G55))</f>
        <v>-0.18181818181818188</v>
      </c>
      <c r="D55" s="356" cm="1">
        <f t="array" aca="1" ref="D55" ca="1">IF(D$15="none",0,INDIRECT($F55&amp;D$47&amp;"!"&amp;$G55))</f>
        <v>-0.18181818181818188</v>
      </c>
      <c r="E55" s="48" t="s">
        <v>100</v>
      </c>
      <c r="F55" s="354" t="str">
        <f t="shared" ca="1" si="1"/>
        <v>HP_</v>
      </c>
      <c r="G55" s="354" t="str">
        <f t="shared" ca="1" si="2"/>
        <v>$B116</v>
      </c>
      <c r="H55" s="355" t="str">
        <f t="shared" ca="1" si="3"/>
        <v>IF(B15"none",0,HP_1!$B116)</v>
      </c>
      <c r="I55" s="355" t="str">
        <f t="shared" ca="1" si="4"/>
        <v>IF(B15"none",0,HP_1!$B116</v>
      </c>
    </row>
    <row r="56" spans="1:9" ht="15.75">
      <c r="A56" s="270" t="s">
        <v>188</v>
      </c>
      <c r="B56" s="359" t="str">
        <f>IF(B15="none","",HP_1!$B$68)</f>
        <v>I.S. EN 16147</v>
      </c>
      <c r="C56" s="357" t="str" cm="1">
        <f t="array" aca="1" ref="C56" ca="1">IF(C$15="none","",INDIRECT($F56&amp;C$47&amp;"!"&amp;$G56))</f>
        <v>I.S. EN 16147</v>
      </c>
      <c r="D56" s="357" t="str" cm="1">
        <f t="array" aca="1" ref="D56" ca="1">IF(D$15="none","",INDIRECT($F56&amp;D$47&amp;"!"&amp;$G56))</f>
        <v>I.S. EN 16147</v>
      </c>
      <c r="E56" s="271">
        <f ca="1">COUNTIF(B56:D56,"="&amp;"I.S. EN 14825/14511")</f>
        <v>0</v>
      </c>
      <c r="F56" s="354" t="str">
        <f t="shared" ca="1" si="1"/>
        <v>HP_</v>
      </c>
      <c r="G56" s="354" t="str">
        <f t="shared" ca="1" si="2"/>
        <v>$B$68</v>
      </c>
      <c r="H56" s="355" t="str">
        <f t="shared" ca="1" si="3"/>
        <v>IF(B15"none","",HP_1!$B$68)</v>
      </c>
      <c r="I56" s="355" t="str">
        <f t="shared" ca="1" si="4"/>
        <v>IF(B15"none","",HP_1!$B$68</v>
      </c>
    </row>
    <row r="57" spans="1:9" ht="15.75">
      <c r="A57" s="270" t="s">
        <v>189</v>
      </c>
      <c r="B57" s="359">
        <f>IF(B15="none",0,HP_1!$I$68)</f>
        <v>1</v>
      </c>
      <c r="C57" s="359" cm="1">
        <f t="array" aca="1" ref="C57" ca="1">IF(C$15="none",0,INDIRECT($F57&amp;C$47&amp;"!"&amp;$G57))</f>
        <v>1</v>
      </c>
      <c r="D57" s="359" cm="1">
        <f t="array" aca="1" ref="D57" ca="1">IF(D$15="none",0,INDIRECT($F57&amp;D$47&amp;"!"&amp;$G57))</f>
        <v>1</v>
      </c>
      <c r="E57" s="48"/>
      <c r="F57" s="354" t="str">
        <f t="shared" ca="1" si="1"/>
        <v>HP_</v>
      </c>
      <c r="G57" s="354" t="str">
        <f t="shared" ca="1" si="2"/>
        <v>$I$68</v>
      </c>
      <c r="H57" s="355" t="str">
        <f t="shared" ca="1" si="3"/>
        <v>IF(B15"none",0,HP_1!$I$68)</v>
      </c>
      <c r="I57" s="355" t="str">
        <f t="shared" ca="1" si="4"/>
        <v>IF(B15"none",0,HP_1!$I$68</v>
      </c>
    </row>
    <row r="58" spans="1:9" ht="15.75">
      <c r="A58" s="270" t="s">
        <v>190</v>
      </c>
      <c r="B58" s="360">
        <f>IF(AND(B14="none",B15="none"),0,HP_1!$AN$4)</f>
        <v>0</v>
      </c>
      <c r="C58" s="360" cm="1">
        <f t="array" aca="1" ref="C58" ca="1">IF(AND(C$14="none",C$15="none"),0,INDIRECT($F58&amp;C$47&amp;"!"&amp;$G58))</f>
        <v>0</v>
      </c>
      <c r="D58" s="360" cm="1">
        <f t="array" aca="1" ref="D58" ca="1">IF(AND(D$14="none",D$15="none"),0,INDIRECT($F58&amp;D$47&amp;"!"&amp;$G58))</f>
        <v>0</v>
      </c>
      <c r="E58" s="48"/>
      <c r="F58" s="354" t="str">
        <f t="shared" ca="1" si="1"/>
        <v>HP_</v>
      </c>
      <c r="G58" s="354" t="str">
        <f t="shared" ca="1" si="2"/>
        <v>$AN$4</v>
      </c>
      <c r="H58" s="355" t="str">
        <f t="shared" ca="1" si="3"/>
        <v>IF(AND(B14"none",B15"none"),0,HP_1!$AN$4)</v>
      </c>
      <c r="I58" s="355" t="str">
        <f t="shared" ca="1" si="4"/>
        <v>IF(AND(B14"none",B15"none",0,HP_1!$AN$4</v>
      </c>
    </row>
    <row r="59" spans="1:9" ht="15.75">
      <c r="A59" s="270" t="s">
        <v>191</v>
      </c>
      <c r="B59" s="361" t="str">
        <f>IF(B$15="none","",IF(B17&gt;B57,B46&amp;"
Error: %  water heating from this pump exceeds maximum based on test temperatures. Pls check data entries.  ",""))</f>
        <v/>
      </c>
      <c r="C59" s="361" t="str">
        <f ca="1">IF(C$15="none","",IF(C17&gt;C57,C46&amp;"
Error: %  water heating from this pump exceeds maximum based on test temperatures. Pls check data entries.  ",""))</f>
        <v/>
      </c>
      <c r="D59" s="361" t="str">
        <f ca="1">IF(D$15="none","",IF(D17&gt;D57,D46&amp;"
Error: %  water heating from this pump exceeds maximum based on test temperatures. Pls check data entries.  ",""))</f>
        <v/>
      </c>
      <c r="E59" s="48"/>
      <c r="F59" s="272"/>
      <c r="G59" s="273"/>
      <c r="H59" s="273"/>
    </row>
    <row r="60" spans="1:9" ht="15">
      <c r="A60" s="270" t="s">
        <v>192</v>
      </c>
      <c r="B60" s="361" t="e">
        <f>IF(B$14="none","",IF(B54&lt;100%,B$46&amp;"
Warning: this heat pump requires backup to meet space heating load assigned to it.  ",""))</f>
        <v>#DIV/0!</v>
      </c>
      <c r="C60" s="361" t="e">
        <f ca="1">IF(C14="none","",IF(C54&lt;100%,C$46&amp;"
Warning: this heat pump requires backup to meet space heating load assigned to it.  ",""))</f>
        <v>#VALUE!</v>
      </c>
      <c r="D60" s="361" t="e">
        <f ca="1">IF(D14="none","",IF(D54&lt;100%,D$46&amp;"
Warning: this heat pump requires backup to meet space heating load assigned to it.  ",""))</f>
        <v>#VALUE!</v>
      </c>
      <c r="F60" s="272"/>
      <c r="G60" s="273"/>
      <c r="H60" s="273"/>
    </row>
    <row r="61" spans="1:9" ht="15">
      <c r="A61" s="270" t="s">
        <v>193</v>
      </c>
      <c r="B61" s="361" t="e">
        <f>IF(B$15="none","",IF(B55&lt;100%,"
Warning: this heat pump requires backup to meet water heating load assigned to it.  ",""))</f>
        <v>#VALUE!</v>
      </c>
      <c r="C61" s="361" t="str">
        <f ca="1">IF(C15="none","",IF(C55&lt;100%,C$46&amp;"
Warning: this heat pump requires backup to meet water heating load assigned to it.  ",""))</f>
        <v xml:space="preserve">Heat pump # 2
Warning: this heat pump requires backup to meet water heating load assigned to it.  </v>
      </c>
      <c r="D61" s="361" t="str">
        <f ca="1">IF(D15="none","",IF(D55&lt;100%,D$46&amp;"
Warning: this heat pump requires backup to meet water heating load assigned to it.  ",""))</f>
        <v xml:space="preserve">Heat pump # 3
Warning: this heat pump requires backup to meet water heating load assigned to it.  </v>
      </c>
      <c r="F61" s="272"/>
      <c r="G61" s="273"/>
      <c r="H61" s="273"/>
    </row>
    <row r="62" spans="1:9" ht="15.75">
      <c r="A62" s="270" t="s">
        <v>194</v>
      </c>
      <c r="B62" s="359" t="str">
        <f>IF(B14="none","",HP_1!G11)</f>
        <v>Electricity</v>
      </c>
      <c r="C62" s="357" t="str" cm="1">
        <f t="array" aca="1" ref="C62" ca="1">IF(C$14="none","",INDIRECT($F62&amp;C$47&amp;"!"&amp;$G62))</f>
        <v>Electricity</v>
      </c>
      <c r="D62" s="357" t="str" cm="1">
        <f t="array" aca="1" ref="D62" ca="1">IF(D$14="none","",INDIRECT($F62&amp;D$47&amp;"!"&amp;$G62))</f>
        <v>Electricity</v>
      </c>
      <c r="E62" s="271"/>
      <c r="F62" s="354" t="str">
        <f t="shared" ref="F62:F63" ca="1" si="5">MID(H62,FIND("HP",H62),3)</f>
        <v>HP_</v>
      </c>
      <c r="G62" s="354" t="str">
        <f t="shared" ref="G62:G63" ca="1" si="6">RIGHT(I62,LEN(I62)-FIND("!",I62))</f>
        <v>G11</v>
      </c>
      <c r="H62" s="355" t="str">
        <f t="shared" ref="H62:H63" ca="1" si="7">SUBSTITUTE( _xlfn.FORMULATEXT(B62),"=","")</f>
        <v>IF(B14"none","",HP_1!G11)</v>
      </c>
      <c r="I62" s="355" t="str">
        <f t="shared" ref="I62:I63" ca="1" si="8">SUBSTITUTE( H62,")","")</f>
        <v>IF(B14"none","",HP_1!G11</v>
      </c>
    </row>
    <row r="63" spans="1:9" ht="15.75">
      <c r="A63" s="270" t="s">
        <v>195</v>
      </c>
      <c r="B63" s="359" t="str">
        <f>IF(B15="none","",HP_1!G63)</f>
        <v>Electricity</v>
      </c>
      <c r="C63" s="357" t="str" cm="1">
        <f t="array" aca="1" ref="C63" ca="1">IF(C$15="none","",INDIRECT($F63&amp;C$47&amp;"!"&amp;$G63))</f>
        <v>Electricity</v>
      </c>
      <c r="D63" s="357" t="str" cm="1">
        <f t="array" aca="1" ref="D63" ca="1">IF(D$15="none","",INDIRECT($F63&amp;D$47&amp;"!"&amp;$G63))</f>
        <v>Electricity</v>
      </c>
      <c r="E63" s="271"/>
      <c r="F63" s="354" t="str">
        <f t="shared" ca="1" si="5"/>
        <v>HP_</v>
      </c>
      <c r="G63" s="354" t="str">
        <f t="shared" ca="1" si="6"/>
        <v>G63</v>
      </c>
      <c r="H63" s="355" t="str">
        <f t="shared" ca="1" si="7"/>
        <v>IF(B15"none","",HP_1!G63)</v>
      </c>
      <c r="I63" s="355" t="str">
        <f t="shared" ca="1" si="8"/>
        <v>IF(B15"none","",HP_1!G63</v>
      </c>
    </row>
    <row r="64" spans="1:9" ht="15">
      <c r="A64" s="270" t="s">
        <v>196</v>
      </c>
      <c r="B64" s="511" t="str">
        <f ca="1">_xlfn.CONCAT(B62:D63)</f>
        <v>ElectricityElectricityElectricityElectricityElectricityElectricity</v>
      </c>
      <c r="C64" s="511">
        <f ca="1">IFERROR(SEARCH("Elec",B64),0)</f>
        <v>1</v>
      </c>
      <c r="D64" s="511">
        <f ca="1">IFERROR(SEARCH("GAHP",B64),0)</f>
        <v>0</v>
      </c>
      <c r="E64" s="511">
        <f ca="1">IF(AND(C64&gt;0,D64&gt;0),1,0)</f>
        <v>0</v>
      </c>
    </row>
    <row r="65" spans="1:2" ht="15">
      <c r="A65" s="270" t="s">
        <v>197</v>
      </c>
      <c r="B65" s="514" t="b">
        <f ca="1">IF(E56=COUNTIF(I15:K15,"="&amp;TRUE),TRUE,FALSE)</f>
        <v>0</v>
      </c>
    </row>
    <row r="66" spans="1:2" ht="15">
      <c r="A66" s="270" t="s">
        <v>198</v>
      </c>
      <c r="B66" s="514" t="b">
        <f>IF(SUM(B17:D17)&gt;=1,TRUE,FALSE)</f>
        <v>1</v>
      </c>
    </row>
  </sheetData>
  <sheetProtection algorithmName="SHA-512" hashValue="ouyzbw1dGtw6KUqPJaLqFV0xmHYHMoeTWO4kOWtNIA1Rg/eqGRGqWQS3uxoBHaqmKo3bdk7IX/BwpbLEz04Cqw==" saltValue="q8E89ZtYgqV0OMHibg3XyA==" spinCount="100000" sheet="1" objects="1" scenarios="1"/>
  <mergeCells count="6">
    <mergeCell ref="A35:F35"/>
    <mergeCell ref="A1:F1"/>
    <mergeCell ref="A21:F21"/>
    <mergeCell ref="B32:D32"/>
    <mergeCell ref="B33:D33"/>
    <mergeCell ref="B34:D34"/>
  </mergeCells>
  <conditionalFormatting sqref="A10:B10 E10:F10 H10:I10">
    <cfRule type="expression" dxfId="141" priority="273">
      <formula>$I$19&lt;&gt;TRUE</formula>
    </cfRule>
  </conditionalFormatting>
  <conditionalFormatting sqref="B20:D20">
    <cfRule type="expression" dxfId="140" priority="4">
      <formula>AND(LEFT(B14,7)&lt;&gt;"Exhaust",LEFT(B15,7)&lt;&gt;"Exhaust")</formula>
    </cfRule>
  </conditionalFormatting>
  <conditionalFormatting sqref="C22">
    <cfRule type="containsText" dxfId="139" priority="2" operator="containsText" text="Error">
      <formula>NOT(ISERROR(SEARCH("Error",C22)))</formula>
    </cfRule>
  </conditionalFormatting>
  <conditionalFormatting sqref="F16:F17">
    <cfRule type="containsText" dxfId="138" priority="11" operator="containsText" text="Error">
      <formula>NOT(ISERROR(SEARCH("Error",F16)))</formula>
    </cfRule>
  </conditionalFormatting>
  <dataValidations count="1">
    <dataValidation type="list" allowBlank="1" showInputMessage="1" showErrorMessage="1" sqref="B14:D15" xr:uid="{EF842449-B348-42F8-980B-7686BF788D72}">
      <formula1>"None, Heat Pump, Exhaust Air Heat Pump"</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EE6DA9-B9FF-44E7-B565-682F6A679595}">
          <x14:formula1>
            <xm:f>HP_1!$AB$1:$AB$2</xm:f>
          </x14:formula1>
          <xm:sqref>B10 B18:D19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FA235"/>
  <sheetViews>
    <sheetView topLeftCell="A114" zoomScale="70" zoomScaleNormal="70" workbookViewId="0">
      <selection activeCell="G128" sqref="G128"/>
    </sheetView>
  </sheetViews>
  <sheetFormatPr defaultColWidth="9.140625" defaultRowHeight="15.75"/>
  <cols>
    <col min="1" max="1" width="68.42578125" style="26" customWidth="1"/>
    <col min="2" max="2" width="46" style="26" customWidth="1"/>
    <col min="3" max="3" width="23.42578125" style="26" customWidth="1"/>
    <col min="4" max="4" width="18.5703125" style="27" customWidth="1"/>
    <col min="5" max="5" width="20.85546875" style="27" customWidth="1"/>
    <col min="6" max="6" width="15.5703125" style="27" customWidth="1"/>
    <col min="7" max="7" width="51.5703125" style="26" customWidth="1"/>
    <col min="8" max="8" width="27.42578125" style="27" customWidth="1"/>
    <col min="9" max="9" width="25.5703125" style="29" customWidth="1"/>
    <col min="10" max="10" width="27.85546875" style="26" customWidth="1"/>
    <col min="11" max="13" width="25.5703125" style="29" customWidth="1"/>
    <col min="14" max="14" width="29.140625" style="26" bestFit="1" customWidth="1"/>
    <col min="15" max="15" width="9.140625" style="26"/>
    <col min="16" max="16" width="42.42578125" style="26" bestFit="1" customWidth="1"/>
    <col min="17" max="17" width="20.42578125" style="26" bestFit="1" customWidth="1"/>
    <col min="18" max="18" width="38.42578125" style="26" customWidth="1"/>
    <col min="19" max="19" width="24.42578125" style="26" bestFit="1" customWidth="1"/>
    <col min="20" max="20" width="33" style="26" bestFit="1" customWidth="1"/>
    <col min="21" max="21" width="40.5703125" style="26" bestFit="1" customWidth="1"/>
    <col min="22" max="22" width="9.140625" style="26"/>
    <col min="23" max="23" width="35.5703125" style="26" customWidth="1"/>
    <col min="24" max="25" width="9.140625" style="26"/>
    <col min="26" max="26" width="17.140625" style="26" bestFit="1" customWidth="1"/>
    <col min="27" max="29" width="9.140625" style="26"/>
    <col min="30" max="30" width="26.5703125" style="26" bestFit="1" customWidth="1"/>
    <col min="31" max="31" width="16.85546875" style="26" customWidth="1"/>
    <col min="32" max="32" width="9.140625" style="26"/>
    <col min="33" max="33" width="44.5703125" style="26" bestFit="1" customWidth="1"/>
    <col min="34" max="38" width="9.140625" style="26"/>
    <col min="39" max="39" width="9.5703125" style="26" bestFit="1" customWidth="1"/>
    <col min="40" max="40" width="9.85546875" style="26" customWidth="1"/>
    <col min="41" max="41" width="9.140625" style="26"/>
    <col min="42" max="42" width="3.5703125" style="26" bestFit="1" customWidth="1"/>
    <col min="43" max="43" width="9.140625" style="26"/>
    <col min="44" max="44" width="41.42578125" style="26" bestFit="1" customWidth="1"/>
    <col min="45" max="16384" width="9.140625" style="26"/>
  </cols>
  <sheetData>
    <row r="1" spans="1:157" ht="24.75" customHeight="1" thickBot="1">
      <c r="A1" s="4" t="s">
        <v>199</v>
      </c>
      <c r="B1" s="4"/>
      <c r="C1" s="4"/>
      <c r="D1" s="104"/>
      <c r="E1" s="104"/>
      <c r="F1" s="258" t="s">
        <v>200</v>
      </c>
      <c r="G1" s="259">
        <v>1</v>
      </c>
      <c r="H1" s="104"/>
      <c r="I1" s="104"/>
      <c r="J1" s="37"/>
      <c r="K1" s="36"/>
      <c r="L1" s="37"/>
      <c r="M1" s="36"/>
      <c r="N1" s="130" t="s">
        <v>201</v>
      </c>
      <c r="O1" s="136" t="s">
        <v>134</v>
      </c>
      <c r="P1" s="138" t="s">
        <v>202</v>
      </c>
      <c r="Q1" s="136" t="s">
        <v>203</v>
      </c>
      <c r="R1" s="137" t="s">
        <v>204</v>
      </c>
      <c r="S1" s="136" t="s">
        <v>205</v>
      </c>
      <c r="T1" s="141" t="s">
        <v>206</v>
      </c>
      <c r="U1" s="144" t="s">
        <v>207</v>
      </c>
      <c r="V1" s="32"/>
      <c r="W1" s="147" t="s">
        <v>208</v>
      </c>
      <c r="X1" s="148"/>
      <c r="Y1" s="32"/>
      <c r="Z1" s="136" t="s">
        <v>209</v>
      </c>
      <c r="AA1" s="32"/>
      <c r="AB1" s="136" t="s">
        <v>134</v>
      </c>
      <c r="AC1" s="32"/>
      <c r="AD1" s="129" t="s">
        <v>210</v>
      </c>
      <c r="AE1" s="129" t="s">
        <v>211</v>
      </c>
      <c r="AF1" s="32"/>
      <c r="AG1" s="136" t="s">
        <v>212</v>
      </c>
      <c r="AH1" s="32"/>
      <c r="AI1" s="32"/>
      <c r="AJ1" s="32"/>
      <c r="AK1" s="32"/>
      <c r="AL1" s="154" t="s">
        <v>213</v>
      </c>
      <c r="AM1" s="157" t="s">
        <v>214</v>
      </c>
      <c r="AN1" s="148">
        <f>IF(OR(B14=N1,B14=N2),IF(D24="",0,1),0)</f>
        <v>0</v>
      </c>
      <c r="AO1" s="32"/>
      <c r="AP1" s="136">
        <v>8</v>
      </c>
      <c r="AQ1" s="32"/>
      <c r="AR1" s="136" t="s">
        <v>215</v>
      </c>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row>
    <row r="2" spans="1:157" ht="36.6" customHeight="1" thickBot="1">
      <c r="A2" s="109" t="s">
        <v>84</v>
      </c>
      <c r="B2" s="109" t="s">
        <v>85</v>
      </c>
      <c r="C2" s="109" t="s">
        <v>86</v>
      </c>
      <c r="D2" s="690" t="s">
        <v>87</v>
      </c>
      <c r="E2" s="690"/>
      <c r="F2" s="690"/>
      <c r="G2" s="690"/>
      <c r="H2" s="34"/>
      <c r="I2" s="110"/>
      <c r="J2" s="33"/>
      <c r="K2" s="30"/>
      <c r="L2" s="30"/>
      <c r="M2" s="30"/>
      <c r="N2" s="131" t="s">
        <v>216</v>
      </c>
      <c r="O2" s="135" t="s">
        <v>107</v>
      </c>
      <c r="P2" s="139" t="s">
        <v>217</v>
      </c>
      <c r="Q2" s="134" t="s">
        <v>218</v>
      </c>
      <c r="R2" s="167" t="s">
        <v>219</v>
      </c>
      <c r="S2" s="134" t="s">
        <v>220</v>
      </c>
      <c r="T2" s="142" t="s">
        <v>221</v>
      </c>
      <c r="U2" s="145" t="s">
        <v>222</v>
      </c>
      <c r="V2" s="32"/>
      <c r="W2" s="149" t="s">
        <v>218</v>
      </c>
      <c r="X2" s="268">
        <f>DEAPEntries!B11</f>
        <v>1.75</v>
      </c>
      <c r="Y2" s="32"/>
      <c r="Z2" s="135" t="s">
        <v>223</v>
      </c>
      <c r="AA2" s="32"/>
      <c r="AB2" s="135" t="s">
        <v>107</v>
      </c>
      <c r="AC2" s="32"/>
      <c r="AD2" s="134" t="s">
        <v>224</v>
      </c>
      <c r="AE2" s="168" t="str">
        <f>SUBSTITUTE(AD2," Temperature","")</f>
        <v>Low</v>
      </c>
      <c r="AF2" s="32"/>
      <c r="AG2" s="134" t="s">
        <v>225</v>
      </c>
      <c r="AH2" s="32"/>
      <c r="AI2" s="32"/>
      <c r="AJ2" s="32"/>
      <c r="AK2" s="32"/>
      <c r="AL2" s="155" t="s">
        <v>226</v>
      </c>
      <c r="AM2" s="151"/>
      <c r="AN2" s="150">
        <f>IF(OR(B14=N1,B14=N2),IF(D42="",0,1),0)</f>
        <v>0</v>
      </c>
      <c r="AO2" s="32"/>
      <c r="AP2" s="134">
        <v>16</v>
      </c>
      <c r="AQ2" s="32"/>
      <c r="AR2" s="135" t="s">
        <v>227</v>
      </c>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row>
    <row r="3" spans="1:157" ht="35.25" customHeight="1" thickBot="1">
      <c r="A3" s="363" t="s">
        <v>88</v>
      </c>
      <c r="B3" s="364">
        <f>DEAPEntries!B3</f>
        <v>0</v>
      </c>
      <c r="C3" s="414" t="s">
        <v>89</v>
      </c>
      <c r="D3" s="680" t="str">
        <f>DEAPEntries!F3</f>
        <v>Sourced from DEAP  "results" tab (or DEAP workbook Fab tab). This is the sum of heat losses from fabric + ventilation + windows</v>
      </c>
      <c r="E3" s="680"/>
      <c r="F3" s="680"/>
      <c r="G3" s="680"/>
      <c r="H3" s="34"/>
      <c r="I3" s="30"/>
      <c r="J3" s="33"/>
      <c r="K3" s="30"/>
      <c r="L3" s="30"/>
      <c r="M3" s="30"/>
      <c r="N3" s="131" t="s">
        <v>228</v>
      </c>
      <c r="O3" s="32"/>
      <c r="P3" s="140" t="s">
        <v>229</v>
      </c>
      <c r="Q3" s="135" t="s">
        <v>230</v>
      </c>
      <c r="R3" s="32"/>
      <c r="S3" s="134" t="s">
        <v>231</v>
      </c>
      <c r="T3" s="143" t="s">
        <v>232</v>
      </c>
      <c r="U3" s="145" t="s">
        <v>233</v>
      </c>
      <c r="V3" s="32"/>
      <c r="W3" s="149" t="s">
        <v>234</v>
      </c>
      <c r="X3" s="150">
        <v>1.1000000000000001</v>
      </c>
      <c r="Y3" s="32"/>
      <c r="Z3" s="32"/>
      <c r="AA3" s="32"/>
      <c r="AB3" s="32"/>
      <c r="AC3" s="32"/>
      <c r="AD3" s="134" t="s">
        <v>235</v>
      </c>
      <c r="AE3" s="168" t="str">
        <f t="shared" ref="AE3:AE5" si="0">SUBSTITUTE(AD3," Temperature","")</f>
        <v>Medium</v>
      </c>
      <c r="AF3" s="32"/>
      <c r="AG3" s="134" t="s">
        <v>236</v>
      </c>
      <c r="AH3" s="32"/>
      <c r="AI3" s="32"/>
      <c r="AJ3" s="32"/>
      <c r="AK3" s="32"/>
      <c r="AL3" s="155" t="s">
        <v>237</v>
      </c>
      <c r="AN3" s="150">
        <f>IF(ISNUMBER(SEARCH("ERROR",C9&amp;C62&amp;D14&amp;D68&amp;G18)),1,0)</f>
        <v>0</v>
      </c>
      <c r="AO3" s="32"/>
      <c r="AP3" s="135">
        <v>24</v>
      </c>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row>
    <row r="4" spans="1:157" ht="39" customHeight="1" thickBot="1">
      <c r="A4" s="365" t="s">
        <v>238</v>
      </c>
      <c r="B4" s="366" t="str">
        <f>IFERROR(IF(B5="No",(B3*B6*(B19-B18)),(B3*B6/B7)*B8*(B19-B18))*(1-DEAPEntries!B8),"Please complete DEAPEntries tab")</f>
        <v>Please complete DEAPEntries tab</v>
      </c>
      <c r="C4" s="414" t="s">
        <v>239</v>
      </c>
      <c r="D4" s="680" t="s">
        <v>240</v>
      </c>
      <c r="E4" s="680"/>
      <c r="F4" s="680"/>
      <c r="G4" s="680"/>
      <c r="H4" s="34"/>
      <c r="I4" s="30"/>
      <c r="J4" s="33"/>
      <c r="K4" s="30"/>
      <c r="L4" s="30"/>
      <c r="M4" s="30"/>
      <c r="N4" s="131" t="s">
        <v>241</v>
      </c>
      <c r="O4" s="32"/>
      <c r="P4" s="32"/>
      <c r="Q4" s="32"/>
      <c r="R4" s="32"/>
      <c r="S4" s="134" t="s">
        <v>242</v>
      </c>
      <c r="T4" s="32"/>
      <c r="U4" s="145" t="s">
        <v>243</v>
      </c>
      <c r="V4" s="32"/>
      <c r="W4" s="149" t="s">
        <v>244</v>
      </c>
      <c r="X4" s="150">
        <v>1.1000000000000001</v>
      </c>
      <c r="Y4" s="32"/>
      <c r="Z4" s="32"/>
      <c r="AA4" s="32"/>
      <c r="AB4" s="32"/>
      <c r="AC4" s="32"/>
      <c r="AD4" s="134" t="s">
        <v>245</v>
      </c>
      <c r="AE4" s="168" t="str">
        <f t="shared" si="0"/>
        <v>High</v>
      </c>
      <c r="AF4" s="32"/>
      <c r="AG4" s="135" t="s">
        <v>246</v>
      </c>
      <c r="AH4" s="32"/>
      <c r="AI4" s="32"/>
      <c r="AJ4" s="32"/>
      <c r="AK4" s="32"/>
      <c r="AL4" s="155" t="s">
        <v>247</v>
      </c>
      <c r="AM4" s="152"/>
      <c r="AN4" s="153">
        <f>SUM(AN1:AN3)</f>
        <v>0</v>
      </c>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row>
    <row r="5" spans="1:157" ht="45.6" customHeight="1" thickBot="1">
      <c r="A5" s="365" t="s">
        <v>248</v>
      </c>
      <c r="B5" s="367" t="str">
        <f>E194</f>
        <v>Yes</v>
      </c>
      <c r="C5" s="414"/>
      <c r="D5" s="680"/>
      <c r="E5" s="680"/>
      <c r="F5" s="680"/>
      <c r="G5" s="680"/>
      <c r="H5" s="34"/>
      <c r="I5" s="30"/>
      <c r="J5" s="33"/>
      <c r="K5" s="30"/>
      <c r="L5" s="30"/>
      <c r="M5" s="30"/>
      <c r="N5" s="131" t="s">
        <v>249</v>
      </c>
      <c r="O5" s="32"/>
      <c r="P5" s="32"/>
      <c r="Q5" s="32"/>
      <c r="R5" s="32"/>
      <c r="S5" s="134" t="s">
        <v>250</v>
      </c>
      <c r="T5" s="32"/>
      <c r="U5" s="146" t="s">
        <v>251</v>
      </c>
      <c r="V5" s="32"/>
      <c r="W5" s="149" t="s">
        <v>252</v>
      </c>
      <c r="X5" s="150">
        <v>1.1000000000000001</v>
      </c>
      <c r="Y5" s="32"/>
      <c r="Z5" s="32"/>
      <c r="AA5" s="32"/>
      <c r="AB5" s="32"/>
      <c r="AC5" s="32"/>
      <c r="AD5" s="135" t="s">
        <v>253</v>
      </c>
      <c r="AE5" s="169" t="str">
        <f t="shared" si="0"/>
        <v>Very high</v>
      </c>
      <c r="AF5" s="32"/>
      <c r="AG5" s="32"/>
      <c r="AH5" s="32"/>
      <c r="AI5" s="32"/>
      <c r="AJ5" s="32"/>
      <c r="AK5" s="32"/>
      <c r="AL5" s="155" t="s">
        <v>254</v>
      </c>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row>
    <row r="6" spans="1:157" ht="63.6" customHeight="1">
      <c r="A6" s="365" t="s">
        <v>255</v>
      </c>
      <c r="B6" s="368">
        <f>E191</f>
        <v>1</v>
      </c>
      <c r="C6" s="414" t="s">
        <v>100</v>
      </c>
      <c r="D6" s="686"/>
      <c r="E6" s="686"/>
      <c r="F6" s="686"/>
      <c r="G6" s="686"/>
      <c r="H6" s="34"/>
      <c r="I6" s="30"/>
      <c r="J6" s="33"/>
      <c r="K6" s="30"/>
      <c r="L6" s="30"/>
      <c r="M6" s="30"/>
      <c r="N6" s="131" t="s">
        <v>241</v>
      </c>
      <c r="O6" s="32"/>
      <c r="P6" s="32"/>
      <c r="Q6" s="32"/>
      <c r="S6" s="134" t="s">
        <v>256</v>
      </c>
      <c r="T6" s="32"/>
      <c r="U6" s="26" t="s">
        <v>23</v>
      </c>
      <c r="V6" s="32"/>
      <c r="W6" s="149" t="s">
        <v>257</v>
      </c>
      <c r="X6" s="150">
        <v>1.3</v>
      </c>
      <c r="Y6" s="32"/>
      <c r="Z6" s="32"/>
      <c r="AA6" s="32"/>
      <c r="AB6" s="32"/>
      <c r="AC6" s="32"/>
      <c r="AE6" s="32"/>
      <c r="AF6" s="32"/>
      <c r="AG6" s="32"/>
      <c r="AH6" s="32"/>
      <c r="AI6" s="32"/>
      <c r="AJ6" s="32"/>
      <c r="AK6" s="32"/>
      <c r="AL6" s="155" t="s">
        <v>258</v>
      </c>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row>
    <row r="7" spans="1:157" ht="30" customHeight="1">
      <c r="A7" s="365" t="s">
        <v>95</v>
      </c>
      <c r="B7" s="369">
        <f>DEAPEntries!B5</f>
        <v>0</v>
      </c>
      <c r="C7" s="414" t="s">
        <v>259</v>
      </c>
      <c r="D7" s="680" t="str">
        <f>DEAPEntries!F5</f>
        <v>Sourced from DEAP: Building: Floors tab (or Dim tab in DEAP workbook)</v>
      </c>
      <c r="E7" s="680">
        <f>DEAPEntries!G5</f>
        <v>0</v>
      </c>
      <c r="F7" s="680">
        <f>DEAPEntries!H5</f>
        <v>0</v>
      </c>
      <c r="G7" s="680">
        <f>DEAPEntries!I5</f>
        <v>0</v>
      </c>
      <c r="H7" s="34"/>
      <c r="I7" s="30"/>
      <c r="J7" s="33"/>
      <c r="K7" s="30"/>
      <c r="L7" s="30"/>
      <c r="M7" s="30"/>
      <c r="N7" s="131" t="s">
        <v>260</v>
      </c>
      <c r="O7" s="32"/>
      <c r="P7" s="32"/>
      <c r="Q7" s="32"/>
      <c r="S7" s="134" t="s">
        <v>261</v>
      </c>
      <c r="T7" s="32"/>
      <c r="V7" s="32"/>
      <c r="W7" s="149" t="s">
        <v>262</v>
      </c>
      <c r="X7" s="150">
        <v>1.34</v>
      </c>
      <c r="Y7" s="32"/>
      <c r="Z7" s="32"/>
      <c r="AA7" s="32"/>
      <c r="AB7" s="32"/>
      <c r="AC7" s="32"/>
      <c r="AE7" s="32"/>
      <c r="AF7" s="32"/>
      <c r="AG7" s="32"/>
      <c r="AH7" s="32"/>
      <c r="AI7" s="32"/>
      <c r="AJ7" s="32"/>
      <c r="AK7" s="32"/>
      <c r="AL7" s="155" t="s">
        <v>263</v>
      </c>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row>
    <row r="8" spans="1:157" ht="30" customHeight="1" thickBot="1">
      <c r="A8" s="370" t="s">
        <v>264</v>
      </c>
      <c r="B8" s="371"/>
      <c r="C8" s="414" t="s">
        <v>259</v>
      </c>
      <c r="D8" s="680" t="s">
        <v>265</v>
      </c>
      <c r="E8" s="680" t="e">
        <f>DEAPEntries!#REF!</f>
        <v>#REF!</v>
      </c>
      <c r="F8" s="680" t="e">
        <f>DEAPEntries!#REF!</f>
        <v>#REF!</v>
      </c>
      <c r="G8" s="680" t="e">
        <f>DEAPEntries!#REF!</f>
        <v>#REF!</v>
      </c>
      <c r="H8" s="34"/>
      <c r="I8" s="30"/>
      <c r="J8" s="33"/>
      <c r="K8" s="30"/>
      <c r="L8" s="30"/>
      <c r="M8" s="30"/>
      <c r="N8" s="132" t="s">
        <v>266</v>
      </c>
      <c r="O8" s="32"/>
      <c r="P8" s="32"/>
      <c r="Q8" s="32"/>
      <c r="S8" s="134" t="s">
        <v>267</v>
      </c>
      <c r="T8" s="32"/>
      <c r="V8" s="32"/>
      <c r="W8" s="149" t="s">
        <v>268</v>
      </c>
      <c r="X8" s="150">
        <v>1.1000000000000001</v>
      </c>
      <c r="Y8" s="32"/>
      <c r="Z8" s="32"/>
      <c r="AA8" s="32"/>
      <c r="AB8" s="32"/>
      <c r="AC8" s="32"/>
      <c r="AD8" s="32"/>
      <c r="AE8" s="32"/>
      <c r="AF8" s="32"/>
      <c r="AG8" s="32"/>
      <c r="AH8" s="32"/>
      <c r="AI8" s="32"/>
      <c r="AJ8" s="32"/>
      <c r="AK8" s="32"/>
      <c r="AL8" s="155" t="s">
        <v>269</v>
      </c>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row>
    <row r="9" spans="1:157" ht="30" customHeight="1" thickBot="1">
      <c r="A9" s="372" t="str">
        <f>IF(N10=FALSE,"No heat Pump for Space Heating - PROCEED TO WATER HEATING","Heat Pump for Space Heating")</f>
        <v>Heat Pump for Space Heating</v>
      </c>
      <c r="B9" s="372"/>
      <c r="C9" s="683" t="str">
        <f>IF(N10,E224,".")</f>
        <v>Valid space heat pump type selected.</v>
      </c>
      <c r="D9" s="684"/>
      <c r="E9" s="684"/>
      <c r="F9" s="684"/>
      <c r="G9" s="714"/>
      <c r="H9" s="684"/>
      <c r="I9" s="685"/>
      <c r="J9" s="33"/>
      <c r="K9" s="30"/>
      <c r="L9" s="30"/>
      <c r="M9" s="30"/>
      <c r="N9" s="32" t="s">
        <v>270</v>
      </c>
      <c r="O9" s="32"/>
      <c r="P9" s="32"/>
      <c r="Q9" s="32"/>
      <c r="R9" s="32"/>
      <c r="S9" s="135" t="s">
        <v>271</v>
      </c>
      <c r="T9" s="32"/>
      <c r="U9" s="32"/>
      <c r="V9" s="32"/>
      <c r="W9" s="151" t="s">
        <v>272</v>
      </c>
      <c r="X9" s="150">
        <v>1.2</v>
      </c>
      <c r="Y9" s="32"/>
      <c r="Z9" s="32"/>
      <c r="AA9" s="32"/>
      <c r="AB9" s="32"/>
      <c r="AC9" s="32"/>
      <c r="AD9" s="32"/>
      <c r="AE9" s="32"/>
      <c r="AF9" s="32"/>
      <c r="AG9" s="32"/>
      <c r="AH9" s="32"/>
      <c r="AI9" s="32"/>
      <c r="AJ9" s="32"/>
      <c r="AK9" s="32"/>
      <c r="AL9" s="155" t="s">
        <v>273</v>
      </c>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row>
    <row r="10" spans="1:157" ht="30" customHeight="1" thickBot="1">
      <c r="A10" s="363" t="s">
        <v>274</v>
      </c>
      <c r="B10" s="373"/>
      <c r="D10" s="697" t="s">
        <v>275</v>
      </c>
      <c r="E10" s="697"/>
      <c r="F10" s="697"/>
      <c r="G10" s="127" t="s">
        <v>219</v>
      </c>
      <c r="H10" s="34"/>
      <c r="I10" s="30"/>
      <c r="J10" s="33"/>
      <c r="K10" s="30"/>
      <c r="L10" s="30"/>
      <c r="M10" s="30"/>
      <c r="N10" s="117" t="b">
        <f>M189</f>
        <v>1</v>
      </c>
      <c r="O10" s="32" t="s">
        <v>122</v>
      </c>
      <c r="P10" s="32"/>
      <c r="Q10" s="32"/>
      <c r="R10" s="32"/>
      <c r="S10" s="32"/>
      <c r="T10" s="32"/>
      <c r="U10" s="32"/>
      <c r="V10" s="32"/>
      <c r="W10" s="151" t="s">
        <v>276</v>
      </c>
      <c r="X10" s="150">
        <v>1.1000000000000001</v>
      </c>
      <c r="Y10" s="32"/>
      <c r="Z10" s="32"/>
      <c r="AA10" s="32"/>
      <c r="AB10" s="32"/>
      <c r="AC10" s="32"/>
      <c r="AD10" s="32"/>
      <c r="AE10" s="32"/>
      <c r="AF10" s="32"/>
      <c r="AG10" s="32"/>
      <c r="AH10" s="32"/>
      <c r="AI10" s="32"/>
      <c r="AJ10" s="32"/>
      <c r="AK10" s="32"/>
      <c r="AL10" s="156" t="s">
        <v>277</v>
      </c>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row>
    <row r="11" spans="1:157" ht="30" customHeight="1">
      <c r="A11" s="365" t="s">
        <v>278</v>
      </c>
      <c r="B11" s="374"/>
      <c r="D11" s="698" t="s">
        <v>279</v>
      </c>
      <c r="E11" s="698"/>
      <c r="F11" s="698"/>
      <c r="G11" s="127" t="s">
        <v>218</v>
      </c>
      <c r="H11" s="34"/>
      <c r="I11" s="30"/>
      <c r="J11" s="33"/>
      <c r="K11" s="30"/>
      <c r="L11" s="30"/>
      <c r="M11" s="30"/>
      <c r="N11" s="117" t="b">
        <f>M190</f>
        <v>1</v>
      </c>
      <c r="O11" s="32" t="s">
        <v>124</v>
      </c>
      <c r="P11" s="32"/>
      <c r="Q11" s="32"/>
      <c r="R11" s="32"/>
      <c r="S11" s="32"/>
      <c r="T11" s="32"/>
      <c r="U11" s="32"/>
      <c r="V11" s="32"/>
      <c r="W11" s="151" t="s">
        <v>280</v>
      </c>
      <c r="X11" s="150">
        <v>1.1000000000000001</v>
      </c>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row>
    <row r="12" spans="1:157" ht="126.6" customHeight="1" thickBot="1">
      <c r="A12" s="365" t="s">
        <v>281</v>
      </c>
      <c r="B12" s="374" t="s">
        <v>205</v>
      </c>
      <c r="C12" s="112" t="str">
        <f>IF(E189="Exhaust Air Heat Pump",
IF(LEFT(B12,7)&lt;&gt;"Exhaust","Warning: Type of heat pump selected here and in DEAPEntries tab do not match. 
Check entries",""),
IF(LEFT(B12,7)="Exhaust","Warning: Type of heat pump selected here and in DEAPEntries tab do not match. 
Check entries",""))</f>
        <v/>
      </c>
      <c r="D12" s="698" t="s">
        <v>282</v>
      </c>
      <c r="E12" s="698"/>
      <c r="F12" s="698"/>
      <c r="G12" s="128" t="s">
        <v>221</v>
      </c>
      <c r="H12" s="34"/>
      <c r="I12" s="30"/>
      <c r="J12" s="33"/>
      <c r="K12" s="30"/>
      <c r="L12" s="30"/>
      <c r="M12" s="30"/>
      <c r="N12" s="117" t="b">
        <f>IF(AND(N10=TRUE,N11=TRUE,$B$14&lt;&gt;$N$3),IF(B67="Same Heat Pump providing Space Heating and Domestic Hot Water",TRUE,FALSE),FALSE)</f>
        <v>1</v>
      </c>
      <c r="O12" s="32" t="s">
        <v>283</v>
      </c>
      <c r="P12" s="32"/>
      <c r="Q12" s="32"/>
      <c r="R12" s="32"/>
      <c r="S12" s="32"/>
      <c r="T12" s="32"/>
      <c r="U12" s="32"/>
      <c r="V12" s="32"/>
      <c r="W12" s="152" t="s">
        <v>284</v>
      </c>
      <c r="X12" s="153">
        <v>1.1000000000000001</v>
      </c>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row>
    <row r="13" spans="1:157" ht="78.599999999999994" customHeight="1">
      <c r="A13" s="365" t="s">
        <v>285</v>
      </c>
      <c r="B13" s="374" t="s">
        <v>209</v>
      </c>
      <c r="D13" s="680" t="s">
        <v>286</v>
      </c>
      <c r="E13" s="680"/>
      <c r="F13" s="680"/>
      <c r="G13" s="224" t="s">
        <v>287</v>
      </c>
      <c r="H13" s="34"/>
      <c r="I13" s="30"/>
      <c r="J13" s="33"/>
      <c r="K13" s="30"/>
      <c r="L13" s="30"/>
      <c r="M13" s="3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row>
    <row r="14" spans="1:157" ht="122.1" customHeight="1">
      <c r="A14" s="365" t="s">
        <v>288</v>
      </c>
      <c r="B14" s="375" t="s">
        <v>201</v>
      </c>
      <c r="C14" s="414"/>
      <c r="D14" s="691" t="str">
        <f>IFERROR(IF(OR(N10&lt;&gt;TRUE,ISNUMBER(SEARCH($B14,E229))),
".",
"ERROR:Check the option selected for space heating standard. Valid option(s) for this heat pump type as follows: "&amp;CHAR(10)&amp;E229),".")</f>
        <v>.</v>
      </c>
      <c r="E14" s="691"/>
      <c r="F14" s="691"/>
      <c r="G14" s="224" t="str">
        <f>A225&amp;E225</f>
        <v>Heat pump type:Air to Water</v>
      </c>
      <c r="H14" s="34"/>
      <c r="I14" s="30"/>
      <c r="J14" s="33"/>
      <c r="K14" s="30"/>
      <c r="L14" s="30"/>
      <c r="M14" s="30"/>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row>
    <row r="15" spans="1:157" ht="30" customHeight="1">
      <c r="A15" s="376" t="s">
        <v>289</v>
      </c>
      <c r="B15" s="375" t="s">
        <v>23</v>
      </c>
      <c r="C15" s="415" t="s">
        <v>290</v>
      </c>
      <c r="D15" s="680" t="s">
        <v>291</v>
      </c>
      <c r="E15" s="680"/>
      <c r="F15" s="680"/>
      <c r="G15" s="224" t="str">
        <f>A226&amp;E226</f>
        <v>Electric or GAHP:Electricity</v>
      </c>
      <c r="H15" s="34"/>
      <c r="I15" s="30"/>
      <c r="J15" s="33"/>
      <c r="K15" s="30"/>
      <c r="L15" s="30"/>
      <c r="M15" s="30"/>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row>
    <row r="16" spans="1:157" ht="30" customHeight="1">
      <c r="A16" s="376" t="s">
        <v>292</v>
      </c>
      <c r="B16" s="375" t="s">
        <v>23</v>
      </c>
      <c r="C16" s="415" t="s">
        <v>290</v>
      </c>
      <c r="D16" s="680" t="s">
        <v>291</v>
      </c>
      <c r="E16" s="680"/>
      <c r="F16" s="680"/>
      <c r="G16" s="224" t="str">
        <f>A227&amp;E227</f>
        <v>Low temp:Not low temperature heat pump</v>
      </c>
      <c r="H16" s="34"/>
      <c r="I16" s="30"/>
      <c r="J16" s="33"/>
      <c r="K16" s="30"/>
      <c r="L16" s="30"/>
      <c r="M16" s="30"/>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row>
    <row r="17" spans="1:157" ht="50.1" customHeight="1" thickBot="1">
      <c r="A17" s="377" t="s">
        <v>293</v>
      </c>
      <c r="B17" s="378">
        <f>IF(B5="Yes",B6*(1-DEAPEntries!B8)*(1-DEAPEntries!B7)*DEAPEntries!B4/DEAPEntries!I10,
                       B6*(1-DEAPEntries!B8)*(1-DEAPEntries!B7)*DEAPEntries!B4)</f>
        <v>0</v>
      </c>
      <c r="C17" s="414" t="s">
        <v>92</v>
      </c>
      <c r="D17" s="700"/>
      <c r="E17" s="700"/>
      <c r="F17" s="700"/>
      <c r="G17" s="224" t="str">
        <f>A228&amp;E228</f>
        <v>Ecodesign based stds:Ecodesign applies and/or ecodesign data available</v>
      </c>
      <c r="H17" s="189"/>
      <c r="I17" s="46"/>
      <c r="J17" s="33"/>
      <c r="K17" s="30"/>
      <c r="L17" s="30"/>
      <c r="M17" s="30"/>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row>
    <row r="18" spans="1:157" ht="42" customHeight="1" thickBot="1">
      <c r="A18" s="377" t="s">
        <v>294</v>
      </c>
      <c r="B18" s="379">
        <v>-3</v>
      </c>
      <c r="C18" s="415" t="s">
        <v>290</v>
      </c>
      <c r="D18" s="680" t="s">
        <v>295</v>
      </c>
      <c r="E18" s="680"/>
      <c r="F18" s="680"/>
      <c r="G18" s="227" t="str">
        <f>IF(AND(B16&gt;=52,G10=R1),"ERROR: WTOL can't be &gt;=52degC for low temperature heat pumps",IF(AND(B16&gt;45,G10=R1),"Warning: low temperature heat pump test data will only be available up to 45degC",""))</f>
        <v/>
      </c>
      <c r="H18" s="44"/>
      <c r="I18" s="45"/>
      <c r="J18" s="33"/>
      <c r="K18" s="30"/>
      <c r="L18" s="30"/>
      <c r="M18" s="3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row>
    <row r="19" spans="1:157" ht="30" customHeight="1" thickBot="1">
      <c r="A19" s="380" t="s">
        <v>296</v>
      </c>
      <c r="B19" s="381" t="str">
        <f>IFERROR(21*DEAPEntries!B6/DEAPEntries!B5+(1-DEAPEntries!B6/DEAPEntries!B5)*18,"Please complete DEAP Entries tab")</f>
        <v>Please complete DEAP Entries tab</v>
      </c>
      <c r="C19" s="415" t="s">
        <v>290</v>
      </c>
      <c r="D19" s="680" t="s">
        <v>297</v>
      </c>
      <c r="E19" s="680"/>
      <c r="F19" s="680"/>
      <c r="G19" s="186"/>
      <c r="H19" s="44"/>
      <c r="I19" s="45"/>
      <c r="J19" s="33"/>
      <c r="K19" s="30"/>
      <c r="L19" s="30"/>
      <c r="M19" s="30"/>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row>
    <row r="20" spans="1:157" ht="30" customHeight="1">
      <c r="A20" s="362" t="s">
        <v>298</v>
      </c>
      <c r="B20" s="166" t="s">
        <v>299</v>
      </c>
      <c r="C20" s="414"/>
      <c r="D20" s="26"/>
      <c r="E20" s="26"/>
      <c r="F20" s="26"/>
      <c r="H20" s="44"/>
      <c r="I20" s="45"/>
      <c r="J20" s="33"/>
      <c r="K20" s="30"/>
      <c r="L20" s="30"/>
      <c r="M20" s="30"/>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row>
    <row r="21" spans="1:157" ht="30" customHeight="1">
      <c r="A21" s="78" t="s">
        <v>300</v>
      </c>
      <c r="B21" s="187" t="s">
        <v>134</v>
      </c>
      <c r="H21" s="44"/>
      <c r="I21" s="45"/>
      <c r="J21" s="33"/>
      <c r="K21" s="30"/>
      <c r="L21" s="30"/>
      <c r="M21" s="30"/>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row>
    <row r="22" spans="1:157" ht="30" customHeight="1">
      <c r="A22" s="78" t="s">
        <v>301</v>
      </c>
      <c r="B22" s="187" t="s">
        <v>107</v>
      </c>
      <c r="D22" s="680" t="s">
        <v>302</v>
      </c>
      <c r="E22" s="680"/>
      <c r="F22" s="680"/>
      <c r="H22" s="44"/>
      <c r="I22" s="45"/>
      <c r="J22" s="33"/>
      <c r="K22" s="30"/>
      <c r="L22" s="30"/>
      <c r="M22" s="30"/>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row>
    <row r="23" spans="1:157" ht="33" customHeight="1" thickBot="1">
      <c r="A23" s="79" t="s">
        <v>303</v>
      </c>
      <c r="B23" s="188" t="s">
        <v>107</v>
      </c>
      <c r="D23" s="49">
        <f>IF(B24="Yes",35,IF(B21="Yes",55,IF(B22="Yes",45,35)))</f>
        <v>55</v>
      </c>
      <c r="E23" s="42" t="s">
        <v>290</v>
      </c>
      <c r="F23" s="29" t="s">
        <v>304</v>
      </c>
      <c r="H23" s="44"/>
      <c r="I23" s="45"/>
      <c r="J23" s="34"/>
      <c r="K23" s="30"/>
      <c r="L23" s="30"/>
      <c r="M23" s="3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row>
    <row r="24" spans="1:157" ht="30" customHeight="1">
      <c r="A24" s="382" t="s">
        <v>305</v>
      </c>
      <c r="B24" s="383" t="str">
        <f>IF(RIGHT(B12,6)="to Air","Yes","No")</f>
        <v>No</v>
      </c>
      <c r="D24" s="687" t="str">
        <f>IF(AND(B24="No",B25&gt;B16,OR(B14=N1,B14=N2)),
"ERROR: Design Flow Temperature is greater than Heat Pumps Operating Limit, please correct",
"")</f>
        <v/>
      </c>
      <c r="E24" s="688"/>
      <c r="F24" s="689"/>
      <c r="H24" s="44"/>
      <c r="I24" s="45"/>
      <c r="J24" s="33"/>
      <c r="K24" s="30"/>
      <c r="L24" s="30"/>
      <c r="M24" s="30"/>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row>
    <row r="25" spans="1:157" ht="69.599999999999994" customHeight="1">
      <c r="A25" s="384" t="s">
        <v>306</v>
      </c>
      <c r="B25" s="385"/>
      <c r="C25" s="42" t="s">
        <v>290</v>
      </c>
      <c r="D25" s="687" t="str">
        <f>(IF(B25&lt;D23,"WARNING: As design flow temperature is less than default, please ensure that documentary evidence is available to support it",""))</f>
        <v>WARNING: As design flow temperature is less than default, please ensure that documentary evidence is available to support it</v>
      </c>
      <c r="E25" s="688"/>
      <c r="F25" s="689"/>
      <c r="H25" s="44"/>
      <c r="I25" s="45"/>
      <c r="J25" s="33"/>
      <c r="K25" s="30"/>
      <c r="L25" s="30"/>
      <c r="M25" s="30"/>
      <c r="N25" s="32"/>
      <c r="O25" s="32" t="s">
        <v>307</v>
      </c>
      <c r="P25" s="32"/>
      <c r="Q25" s="32"/>
      <c r="R25" s="32"/>
      <c r="S25" s="32"/>
      <c r="T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row>
    <row r="26" spans="1:157" ht="30" customHeight="1">
      <c r="A26" s="377" t="s">
        <v>308</v>
      </c>
      <c r="B26" s="386">
        <f>IF(B24="Yes",1,1.2)</f>
        <v>1.2</v>
      </c>
      <c r="D26" s="699" t="s">
        <v>309</v>
      </c>
      <c r="E26" s="699"/>
      <c r="F26" s="699"/>
      <c r="H26" s="44"/>
      <c r="I26" s="45"/>
      <c r="J26" s="33"/>
      <c r="K26" s="30"/>
      <c r="L26" s="30"/>
      <c r="M26" s="30"/>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row>
    <row r="27" spans="1:157" ht="30" customHeight="1">
      <c r="A27" s="377" t="s">
        <v>310</v>
      </c>
      <c r="B27" s="386">
        <f>IF(B24="Yes",5,IF(B21="Yes",10,IF(B22="Yes",7.5,5)))</f>
        <v>10</v>
      </c>
      <c r="C27" s="42" t="s">
        <v>290</v>
      </c>
      <c r="D27" s="680" t="s">
        <v>309</v>
      </c>
      <c r="E27" s="680"/>
      <c r="F27" s="680"/>
      <c r="H27" s="44"/>
      <c r="I27" s="45"/>
      <c r="J27" s="46"/>
      <c r="K27" s="45"/>
      <c r="L27" s="45"/>
      <c r="M27" s="45"/>
    </row>
    <row r="28" spans="1:157" ht="30" customHeight="1">
      <c r="A28" s="377" t="s">
        <v>311</v>
      </c>
      <c r="B28" s="386">
        <f>B25-B27</f>
        <v>-10</v>
      </c>
      <c r="H28" s="44"/>
      <c r="I28" s="45"/>
      <c r="J28" s="46"/>
      <c r="K28" s="45"/>
      <c r="L28" s="45"/>
      <c r="M28" s="45"/>
    </row>
    <row r="29" spans="1:157" ht="30" customHeight="1">
      <c r="A29" s="377" t="s">
        <v>312</v>
      </c>
      <c r="B29" s="385">
        <v>8</v>
      </c>
      <c r="C29" s="26" t="s">
        <v>313</v>
      </c>
      <c r="D29" s="680" t="s">
        <v>314</v>
      </c>
      <c r="E29" s="680"/>
      <c r="F29" s="680"/>
      <c r="H29" s="44"/>
      <c r="I29" s="45"/>
      <c r="J29" s="46"/>
      <c r="K29" s="45"/>
      <c r="L29" s="45"/>
      <c r="M29" s="45"/>
    </row>
    <row r="30" spans="1:157" ht="30" customHeight="1">
      <c r="A30" s="377" t="s">
        <v>315</v>
      </c>
      <c r="B30" s="386">
        <f>24-B29</f>
        <v>16</v>
      </c>
      <c r="C30" s="26" t="s">
        <v>23</v>
      </c>
      <c r="H30" s="44"/>
      <c r="I30" s="45"/>
      <c r="J30" s="46"/>
      <c r="K30" s="45"/>
      <c r="L30" s="45"/>
      <c r="M30" s="45"/>
    </row>
    <row r="31" spans="1:157" ht="30" customHeight="1">
      <c r="A31" s="377" t="s">
        <v>316</v>
      </c>
      <c r="B31" s="387">
        <f>IF(G11=$Q$2,$X$2,$X$3)</f>
        <v>1.75</v>
      </c>
      <c r="D31" s="680" t="s">
        <v>317</v>
      </c>
      <c r="E31" s="680"/>
      <c r="F31" s="680"/>
      <c r="H31" s="44"/>
      <c r="I31" s="45"/>
      <c r="J31" s="46"/>
      <c r="K31" s="45"/>
      <c r="L31" s="45"/>
      <c r="M31" s="45"/>
    </row>
    <row r="32" spans="1:157" ht="30" customHeight="1">
      <c r="A32" s="377" t="s">
        <v>318</v>
      </c>
      <c r="B32" s="388" t="s">
        <v>107</v>
      </c>
      <c r="D32" s="680" t="s">
        <v>319</v>
      </c>
      <c r="E32" s="680"/>
      <c r="F32" s="680"/>
      <c r="H32" s="44"/>
      <c r="I32" s="45"/>
      <c r="J32" s="46"/>
      <c r="K32" s="45"/>
      <c r="L32" s="45"/>
      <c r="M32" s="45"/>
    </row>
    <row r="33" spans="1:23" ht="30" customHeight="1">
      <c r="A33" s="377" t="s">
        <v>320</v>
      </c>
      <c r="B33" s="385" t="s">
        <v>218</v>
      </c>
      <c r="D33" s="680" t="s">
        <v>319</v>
      </c>
      <c r="E33" s="680"/>
      <c r="F33" s="680"/>
      <c r="H33" s="44"/>
      <c r="I33" s="45"/>
      <c r="J33" s="46"/>
      <c r="K33" s="45"/>
      <c r="L33" s="45"/>
      <c r="M33" s="45"/>
    </row>
    <row r="34" spans="1:23" ht="47.25" customHeight="1">
      <c r="A34" s="377" t="s">
        <v>321</v>
      </c>
      <c r="B34" s="389">
        <f>VLOOKUP(B33,W2:X12,2,)</f>
        <v>1.75</v>
      </c>
      <c r="H34" s="44"/>
      <c r="I34" s="45"/>
      <c r="J34" s="46"/>
      <c r="K34" s="30"/>
      <c r="L34" s="30"/>
      <c r="M34" s="30"/>
    </row>
    <row r="35" spans="1:23" ht="30" customHeight="1">
      <c r="A35" s="377" t="s">
        <v>322</v>
      </c>
      <c r="B35" s="390"/>
      <c r="C35" s="26" t="s">
        <v>100</v>
      </c>
      <c r="D35" s="680" t="s">
        <v>323</v>
      </c>
      <c r="E35" s="680"/>
      <c r="F35" s="680"/>
      <c r="H35" s="44"/>
      <c r="I35" s="45"/>
      <c r="J35" s="46"/>
      <c r="K35" s="45"/>
      <c r="L35" s="45"/>
      <c r="M35" s="45"/>
    </row>
    <row r="36" spans="1:23" ht="30" customHeight="1">
      <c r="A36" s="384" t="s">
        <v>324</v>
      </c>
      <c r="B36" s="389">
        <f>IF(B32="Yes",(B31/B34)*B35,1)</f>
        <v>1</v>
      </c>
      <c r="G36" s="133"/>
      <c r="H36" s="44"/>
      <c r="I36" s="45"/>
      <c r="J36" s="46"/>
      <c r="K36" s="30"/>
      <c r="L36" s="30"/>
      <c r="M36" s="30"/>
    </row>
    <row r="37" spans="1:23" ht="34.35" customHeight="1" thickBot="1">
      <c r="D37" s="52"/>
      <c r="E37" s="52"/>
      <c r="F37" s="52"/>
      <c r="H37" s="229" t="s">
        <v>325</v>
      </c>
      <c r="I37" s="229" t="s">
        <v>326</v>
      </c>
      <c r="J37" s="229" t="s">
        <v>327</v>
      </c>
      <c r="K37" s="30"/>
      <c r="L37" s="30"/>
      <c r="M37" s="30"/>
      <c r="P37" s="32"/>
      <c r="U37" s="51"/>
      <c r="V37" s="51"/>
      <c r="W37" s="51"/>
    </row>
    <row r="38" spans="1:23" ht="78.599999999999994" customHeight="1">
      <c r="A38" s="711" t="str">
        <f>"Select the test Conditions according to the test data available from "&amp;B14</f>
        <v>Select the test Conditions according to the test data available from I.S. EN 14825</v>
      </c>
      <c r="B38" s="391" t="str">
        <f>AD4</f>
        <v>High Temperature</v>
      </c>
      <c r="C38" s="388" t="s">
        <v>134</v>
      </c>
      <c r="D38" s="703" t="str">
        <f>"Source from Ecodesign Data or accredited tests to " &amp;B14</f>
        <v>Source from Ecodesign Data or accredited tests to I.S. EN 14825</v>
      </c>
      <c r="E38" s="704"/>
      <c r="F38" s="705"/>
      <c r="G38" s="692" t="str">
        <f>"GUIDANCE NOTE: 
" &amp; IF($B$24="Yes","This is a 'to-air' heat pump. Select NO for all but "&amp;B38,
IF($G$10=$R$2,B38&amp;" Application Data is a mandatory requirement under Ecodesign Directive for this heat pump so must be selected as well as any other temperature applications for which test data is available",
B39&amp;" Application Data is a mandatory requirement under Ecodesign Directive for this heat pump so must be selected. If it is available, application data may also be selected at "&amp;B40))</f>
        <v>GUIDANCE NOTE: 
High Temperature Application Data is a mandatory requirement under Ecodesign Directive for this heat pump so must be selected as well as any other temperature applications for which test data is available</v>
      </c>
      <c r="H38" s="229" t="b">
        <f>IF($B$24="Yes",TRUE,FALSE)</f>
        <v>0</v>
      </c>
      <c r="I38" s="229" t="b">
        <f>IF($G$10=$R$1,TRUE,FALSE)</f>
        <v>0</v>
      </c>
      <c r="J38" s="229" t="str">
        <f>IF($I$38,"No","Yes")</f>
        <v>Yes</v>
      </c>
      <c r="K38" s="45"/>
      <c r="L38" s="45"/>
      <c r="M38" s="45"/>
      <c r="O38" s="32"/>
      <c r="P38" s="32"/>
    </row>
    <row r="39" spans="1:23" ht="31.5" customHeight="1">
      <c r="A39" s="712"/>
      <c r="B39" s="391" t="str">
        <f>AD2</f>
        <v>Low Temperature</v>
      </c>
      <c r="C39" s="388" t="s">
        <v>107</v>
      </c>
      <c r="D39" s="706"/>
      <c r="E39" s="682"/>
      <c r="F39" s="707"/>
      <c r="G39" s="693"/>
      <c r="H39" s="57"/>
      <c r="I39" s="45"/>
      <c r="J39" s="229" t="str">
        <f>IF($I$38,"Yes",IF($H$38,"No",C39))</f>
        <v>No</v>
      </c>
      <c r="K39" s="45"/>
      <c r="L39" s="45"/>
      <c r="M39" s="45"/>
    </row>
    <row r="40" spans="1:23" ht="26.1" customHeight="1">
      <c r="A40" s="712"/>
      <c r="B40" s="391" t="str">
        <f>AD3</f>
        <v>Medium Temperature</v>
      </c>
      <c r="C40" s="388" t="s">
        <v>107</v>
      </c>
      <c r="D40" s="706"/>
      <c r="E40" s="682"/>
      <c r="F40" s="707"/>
      <c r="G40" s="693"/>
      <c r="H40" s="57"/>
      <c r="I40" s="45"/>
      <c r="J40" s="229" t="str">
        <f>IF($I$38,C40,IF($H$38,"No",C40))</f>
        <v>No</v>
      </c>
      <c r="K40" s="45"/>
      <c r="L40" s="45"/>
      <c r="M40" s="45"/>
    </row>
    <row r="41" spans="1:23" ht="26.45" customHeight="1" thickBot="1">
      <c r="A41" s="713"/>
      <c r="B41" s="391" t="str">
        <f>AD5</f>
        <v>Very high Temperature</v>
      </c>
      <c r="C41" s="388" t="s">
        <v>107</v>
      </c>
      <c r="D41" s="708"/>
      <c r="E41" s="709"/>
      <c r="F41" s="710"/>
      <c r="G41" s="694"/>
      <c r="H41" s="57"/>
      <c r="I41" s="45"/>
      <c r="J41" s="229" t="str">
        <f>IF($I$38,"No",IF($H$38,"No",C41))</f>
        <v>No</v>
      </c>
      <c r="K41" s="45"/>
      <c r="L41" s="45"/>
      <c r="M41" s="45"/>
      <c r="U41" s="51"/>
      <c r="V41" s="51"/>
      <c r="W41" s="51"/>
    </row>
    <row r="42" spans="1:23" ht="66.599999999999994" customHeight="1" thickBot="1">
      <c r="A42" s="59"/>
      <c r="B42" s="158" t="str">
        <f>"Maximum test temperature allowed for in tests to "&amp;B14</f>
        <v>Maximum test temperature allowed for in tests to I.S. EN 14825</v>
      </c>
      <c r="C42" s="159">
        <f>IF($B$24="Yes",35,IF(C41="Yes",65,IF(C38="Yes",55,IF(C40="Yes",45,35))))</f>
        <v>55</v>
      </c>
      <c r="D42" s="701" t="str">
        <f>IF(B25&gt;C42,"ERROR: Heat Pump data not suitable for Design Flow Temperature, test data must be available for higher supply temperature","")</f>
        <v/>
      </c>
      <c r="E42" s="702"/>
      <c r="F42" s="702"/>
      <c r="G42" s="228" t="str">
        <f>IF(C38&amp;C39&amp;C40&amp;C41&lt;&gt;J38&amp;J39&amp;J40&amp;J41,"Warning: incorrect application temperatures selected for this heat pump type. Check entries please.","")</f>
        <v/>
      </c>
      <c r="H42" s="57"/>
      <c r="I42" s="57"/>
      <c r="J42" s="46"/>
      <c r="K42" s="45"/>
      <c r="L42" s="45"/>
      <c r="M42" s="45"/>
      <c r="U42" s="51"/>
      <c r="V42" s="51"/>
      <c r="W42" s="51"/>
    </row>
    <row r="43" spans="1:23" ht="33.75" customHeight="1" thickBot="1">
      <c r="A43" s="62" t="s">
        <v>23</v>
      </c>
      <c r="B43" s="160" t="str">
        <f>"Test Conditions "&amp;B14</f>
        <v>Test Conditions I.S. EN 14825</v>
      </c>
      <c r="C43" s="163" t="s">
        <v>328</v>
      </c>
      <c r="D43" s="164" t="s">
        <v>329</v>
      </c>
      <c r="E43" s="164" t="s">
        <v>330</v>
      </c>
      <c r="F43" s="164" t="s">
        <v>331</v>
      </c>
      <c r="G43" s="165" t="s">
        <v>332</v>
      </c>
      <c r="H43" s="63"/>
      <c r="I43" s="64"/>
      <c r="J43" s="46"/>
      <c r="K43" s="30"/>
      <c r="L43" s="30"/>
      <c r="M43" s="30"/>
      <c r="R43" s="26" t="s">
        <v>23</v>
      </c>
      <c r="S43" s="26" t="s">
        <v>23</v>
      </c>
    </row>
    <row r="44" spans="1:23" ht="51.75" customHeight="1">
      <c r="A44" s="65" t="str">
        <f>B39&amp;" Application (35degC)"</f>
        <v>Low Temperature Application (35degC)</v>
      </c>
      <c r="B44" s="392" t="s">
        <v>333</v>
      </c>
      <c r="C44" s="404" t="str">
        <f>IF(OR($B$12="Water to Water",$B$12="Water to Air"),"W10",
IF(OR($B$12="Brine to Water",$B$12="Brine to Air"),"B0",
IF($B$12=$S$4,"A20",
IF($B$12=$S$5,"E4",
"A-7"))))</f>
        <v>A-7</v>
      </c>
      <c r="D44" s="405" t="str">
        <f>IF(OR($B$12="Water to Water",$B$12="Water to Air"),"W10",
IF(OR($B$12="Brine to Water",$B$12="Brine to Air"),"B0",
IF($B$12=$S$4,"A20",
IF($B$12=$S$5,"E4",
"A2"))))</f>
        <v>A2</v>
      </c>
      <c r="E44" s="405" t="str">
        <f>IF(OR($B$12="Water to Water",$B$12="Water to Air"),"W10",
IF(OR($B$12="Brine to Water",$B$12="Brine to Air"),"B0",
IF($B$12=$S$4,"A20",
IF($B$12=$S$5,"E4",
"A7"))))</f>
        <v>A7</v>
      </c>
      <c r="F44" s="405" t="str">
        <f>IF(OR($B$12="Water to Water",$B$12="Water to Air"),"W10",
IF(OR($B$12="Brine to Water",$B$12="Brine to Air"),"B0",
IF($B$12=$S$4,"A20",
IF($B$12=$S$5,"E4",
"A12"))))</f>
        <v>A12</v>
      </c>
      <c r="G44" s="406" t="str">
        <f>IF(OR($B$12="Water to Water",$B$12="Water to Air"),"W10",
IF(OR($B$12="Brine to Water",$B$12="Brine to Air"),"B0",
IF($B$12=$S$4,"A20",
IF($B$12=$S$5,"E4",
"A"&amp;$B$15))))</f>
        <v xml:space="preserve">A </v>
      </c>
      <c r="H44" s="66"/>
      <c r="I44" s="68"/>
      <c r="J44" s="46"/>
      <c r="K44" s="45"/>
      <c r="L44" s="45"/>
      <c r="M44" s="45"/>
    </row>
    <row r="45" spans="1:23" ht="32.25" customHeight="1">
      <c r="A45" s="161" t="str">
        <f>"Standard: "&amp;$B$14</f>
        <v>Standard: I.S. EN 14825</v>
      </c>
      <c r="B45" s="393" t="s">
        <v>334</v>
      </c>
      <c r="C45" s="407" t="str">
        <f>IF(OR($B$12="Water to Air",$B$12="Air to Air",$B$12="Brine to Air"),"A20",(IF($B$13="Fixed Outlet","W35","W34")))</f>
        <v>W35</v>
      </c>
      <c r="D45" s="408" t="str">
        <f>IF(OR($B$12="Water to Air",$B$12="Air to Air",$B$12="Brine to Air"),"A20",(IF($B$13="Fixed Outlet","W35","W30")))</f>
        <v>W35</v>
      </c>
      <c r="E45" s="408" t="str">
        <f>IF(OR($B$12="Water to Air",$B$12="Air to Air",$B$12="Brine to Air"),"A20",(IF($B$13="Fixed Outlet","W35","W27")))</f>
        <v>W35</v>
      </c>
      <c r="F45" s="408" t="str">
        <f>IF(OR($B$12="Water to Air",$B$12="Air to Air",$B$12="Brine to Air"),"A20",(IF($B$13="Fixed Outlet","W35","W24")))</f>
        <v>W35</v>
      </c>
      <c r="G45" s="409" t="str">
        <f>IF(OR($B$12="Water to Air",$B$12="Air to Air",$B$12="Brine to Air"),"A20",(IF($B$13="Fixed Outlet","W35","W35")))</f>
        <v>W35</v>
      </c>
      <c r="H45" s="66"/>
      <c r="I45" s="68"/>
      <c r="J45" s="46"/>
      <c r="K45" s="45"/>
      <c r="L45" s="45"/>
      <c r="M45" s="45"/>
    </row>
    <row r="46" spans="1:23" ht="31.5" customHeight="1">
      <c r="A46" s="695" t="str">
        <f>IF($B$24="yes","No entries required here. 'To-air' heat pump",
" Source from Ecodesign data or 
"&amp;IF($B$14=$N$1, "I.S. EN14825 Table 8 for air source. 
Table 12 for brine, water or DX source. 
[These table # references are from 2016 version of this standard]",
IF($B$14=$N$2,"I.S. EN12309-6 Table 5 for air source. 
Table 17 for Brine or Water source.
[These table # references are from 2014 version of this standard]",
"")))</f>
        <v xml:space="preserve"> Source from Ecodesign data or 
I.S. EN14825 Table 8 for air source. 
Table 12 for brine, water or DX source. 
[These table # references are from 2016 version of this standard]</v>
      </c>
      <c r="B46" s="393" t="s">
        <v>335</v>
      </c>
      <c r="C46" s="371"/>
      <c r="D46" s="388"/>
      <c r="E46" s="388"/>
      <c r="F46" s="388"/>
      <c r="G46" s="413"/>
      <c r="H46" s="69"/>
      <c r="I46" s="45"/>
      <c r="J46" s="46"/>
      <c r="K46" s="45"/>
      <c r="L46" s="45"/>
      <c r="M46" s="45"/>
      <c r="U46" s="51"/>
      <c r="V46" s="51"/>
      <c r="W46" s="51"/>
    </row>
    <row r="47" spans="1:23" ht="43.35" customHeight="1" thickBot="1">
      <c r="A47" s="696"/>
      <c r="B47" s="394" t="s">
        <v>336</v>
      </c>
      <c r="C47" s="410"/>
      <c r="D47" s="411"/>
      <c r="E47" s="411"/>
      <c r="F47" s="411"/>
      <c r="G47" s="412"/>
      <c r="H47" s="71"/>
      <c r="I47" s="68"/>
      <c r="J47" s="46"/>
      <c r="K47" s="30"/>
      <c r="L47" s="30"/>
      <c r="M47" s="30"/>
    </row>
    <row r="48" spans="1:23" ht="36" customHeight="1">
      <c r="A48" s="65" t="str">
        <f>B40&amp;" Application (45degC)"</f>
        <v>Medium Temperature Application (45degC)</v>
      </c>
      <c r="B48" s="396" t="s">
        <v>333</v>
      </c>
      <c r="C48" s="404" t="str">
        <f>IF(OR($B$12="Water to Water",$B$12="Water to Air"),"W10",
IF(OR($B$12="Brine to Water",$B$12="Brine to Air"),"B0",
IF($B$12=$S$4,"A20",
IF($B$12=$S$5,"E4",
"A-7"))))</f>
        <v>A-7</v>
      </c>
      <c r="D48" s="405" t="str">
        <f>IF(OR($B$12="Water to Water",$B$12="Water to Air"),"W10",
IF(OR($B$12="Brine to Water",$B$12="Brine to Air"),"B0",
IF($B$12=$S$4,"A20",
IF($B$12=$S$5,"E4",
"A2"))))</f>
        <v>A2</v>
      </c>
      <c r="E48" s="405" t="str">
        <f>IF(OR($B$12="Water to Water",$B$12="Water to Air"),"W10",
IF(OR($B$12="Brine to Water",$B$12="Brine to Air"),"B0",
IF($B$12=$S$4,"A20",
IF($B$12=$S$5,"E4",
"A7"))))</f>
        <v>A7</v>
      </c>
      <c r="F48" s="405" t="str">
        <f>IF(OR($B$12="Water to Water",$B$12="Water to Air"),"W10",
IF(OR($B$12="Brine to Water",$B$12="Brine to Air"),"B0",
IF($B$12=$S$4,"A20",
IF($B$12=$S$5,"E4",
"A12"))))</f>
        <v>A12</v>
      </c>
      <c r="G48" s="406" t="str">
        <f>IF(OR($B$12="Water to Water",$B$12="Water to Air"),"W10",
IF(OR($B$12="Brine to Water",$B$12="Brine to Air"),"B0",
IF($B$12=$S$4,"A20",
IF($B$12=$S$5,"E4",
"A"&amp;$B$15))))</f>
        <v xml:space="preserve">A </v>
      </c>
      <c r="H48" s="71"/>
      <c r="I48" s="73"/>
      <c r="J48" s="46"/>
      <c r="K48" s="45"/>
      <c r="L48" s="45"/>
      <c r="M48" s="45"/>
    </row>
    <row r="49" spans="1:157" ht="15.75" customHeight="1">
      <c r="A49" s="161" t="str">
        <f>"Standard: "&amp;$B$14</f>
        <v>Standard: I.S. EN 14825</v>
      </c>
      <c r="B49" s="397" t="s">
        <v>334</v>
      </c>
      <c r="C49" s="407" t="str">
        <f>IF(OR($B$12="Water to Air",$B$12="Air to Air",$B$12="Brine to Air"),"A20",(IF($B$13="Fixed Outlet","W45","W43")))</f>
        <v>W45</v>
      </c>
      <c r="D49" s="408" t="str">
        <f>IF(OR($B$12="Water to Air",$B$12="Air to Air",$B$12="Brine to Air"),"A20",(IF($B$13="Fixed Outlet","W45","W37")))</f>
        <v>W45</v>
      </c>
      <c r="E49" s="408" t="str">
        <f>IF(OR($B$12="Water to Air",$B$12="Air to Air",$B$12="Brine to Air"),"A20",(IF($B$13="Fixed Outlet","W45","W33")))</f>
        <v>W45</v>
      </c>
      <c r="F49" s="408" t="str">
        <f>IF(OR($B$12="Water to Air",$B$12="Air to Air",$B$12="Brine to Air"),"A20",(IF($B$13="Fixed Outlet","W45","W28")))</f>
        <v>W45</v>
      </c>
      <c r="G49" s="409" t="str">
        <f>IF(OR($B$12="Water to Air",$B$12="Air to Air",$B$12="Brine to Air"),"A20",(IF($B$13="Fixed Outlet","W45","W45")))</f>
        <v>W45</v>
      </c>
      <c r="H49" s="71"/>
      <c r="I49" s="73"/>
      <c r="J49" s="46"/>
      <c r="K49" s="45"/>
      <c r="L49" s="45"/>
      <c r="M49" s="45"/>
    </row>
    <row r="50" spans="1:157" ht="15.75" customHeight="1">
      <c r="A50" s="695" t="str">
        <f>IF($B$24="yes","No entries required here. 'To-air' heat pump",
" Source from Ecodesign data or 
"&amp;IF($B$14=$N$1, "I.S. EN14825 Table 9 for air source. 
Table 13 for brine, water or DX source. 
[These table # references are from 2016 version of this standard]",
IF($B$14=$N$2,"I.S. EN12309-6 Table 8 for air source. 
Table 20 for Brine or Water source.
[These table # references are from 2014 version of this standard]",
"")))</f>
        <v xml:space="preserve"> Source from Ecodesign data or 
I.S. EN14825 Table 9 for air source. 
Table 13 for brine, water or DX source. 
[These table # references are from 2016 version of this standard]</v>
      </c>
      <c r="B50" s="397" t="s">
        <v>335</v>
      </c>
      <c r="C50" s="371"/>
      <c r="D50" s="388"/>
      <c r="E50" s="388"/>
      <c r="F50" s="388"/>
      <c r="G50" s="413"/>
      <c r="H50" s="66"/>
      <c r="I50" s="68"/>
      <c r="J50" s="46"/>
      <c r="K50" s="45"/>
      <c r="L50" s="45"/>
      <c r="M50" s="45"/>
      <c r="N50" s="54"/>
    </row>
    <row r="51" spans="1:157" ht="60" customHeight="1" thickBot="1">
      <c r="A51" s="696"/>
      <c r="B51" s="399" t="s">
        <v>336</v>
      </c>
      <c r="C51" s="410"/>
      <c r="D51" s="411"/>
      <c r="E51" s="411"/>
      <c r="F51" s="411"/>
      <c r="G51" s="412"/>
      <c r="H51" s="75"/>
      <c r="I51" s="66"/>
      <c r="J51" s="46"/>
      <c r="K51" s="45"/>
      <c r="L51" s="45"/>
      <c r="M51" s="45"/>
      <c r="N51" s="55" t="s">
        <v>23</v>
      </c>
    </row>
    <row r="52" spans="1:157" ht="28.5" customHeight="1">
      <c r="A52" s="162" t="str">
        <f>IF(B24="Yes","To Air test points",B38&amp;" Application (55degC).")</f>
        <v>High Temperature Application (55degC).</v>
      </c>
      <c r="B52" s="396" t="s">
        <v>333</v>
      </c>
      <c r="C52" s="404" t="str">
        <f>IF(OR($B$12="Water to Water",$B$12="Water to Air"),"W10",
IF(OR($B$12="Brine to Water",$B$12="Brine to Air"),"B0",
IF(LEFT($B$12,7)="Exhaust","A20",
IF($B$12=$S$5,"E4",
"A-7"))))</f>
        <v>A-7</v>
      </c>
      <c r="D52" s="405" t="str">
        <f>IF(OR($B$12="Water to Water",$B$12="Water to Air"),"W10",
IF(OR($B$12="Brine to Water",$B$12="Brine to Air"),"B0",
IF(LEFT($B$12,7)="Exhaust","A20",
IF($B$12=$S$5,"E4",
"A2"))))</f>
        <v>A2</v>
      </c>
      <c r="E52" s="405" t="str">
        <f>IF(OR($B$12="Water to Water",$B$12="Water to Air"),"W10",
IF(OR($B$12="Brine to Water",$B$12="Brine to Air"),"B0",
IF(LEFT($B$12,7)="Exhaust","A20",
IF($B$12=$S$5,"E4",
"A7"))))</f>
        <v>A7</v>
      </c>
      <c r="F52" s="405" t="str">
        <f>IF(OR($B$12="Water to Water",$B$12="Water to Air"),"W10",
IF(OR($B$12="Brine to Water",$B$12="Brine to Air"),"B0",
IF(LEFT($B$12,7)="Exhaust","A20",
IF($B$12=$S$5,"E4",
"A12"))))</f>
        <v>A12</v>
      </c>
      <c r="G52" s="406" t="str">
        <f>IF(OR($B$12="Water to Water",$B$12="Water to Air"),"W10",
IF(OR($B$12="Brine to Water",$B$12="Brine to Air"),"B0",
IF(LEFT($B$12,7)="Exhaust","A20",
IF($B$12=$S$5,"E4",
"A"&amp;$B$15))))</f>
        <v xml:space="preserve">A </v>
      </c>
      <c r="H52" s="75"/>
      <c r="I52" s="73"/>
      <c r="J52" s="58"/>
      <c r="K52" s="57"/>
      <c r="L52" s="57"/>
      <c r="M52" s="57"/>
      <c r="N52" s="59"/>
    </row>
    <row r="53" spans="1:157" ht="78.599999999999994" customHeight="1">
      <c r="A53" s="161" t="str">
        <f>"Standard: "&amp;$B$14</f>
        <v>Standard: I.S. EN 14825</v>
      </c>
      <c r="B53" s="397" t="s">
        <v>334</v>
      </c>
      <c r="C53" s="407" t="str">
        <f>IF($B$24="Yes","A20",(IF($B$13="Fixed Outlet","W55","W52")))</f>
        <v>W55</v>
      </c>
      <c r="D53" s="408" t="str">
        <f>IF($B$24="Yes","A20",(IF($B$13="Fixed Outlet","W55","W42")))</f>
        <v>W55</v>
      </c>
      <c r="E53" s="408" t="str">
        <f>IF($B$24="Yes","A20",(IF($B$13="Fixed Outlet","W55","W36")))</f>
        <v>W55</v>
      </c>
      <c r="F53" s="408" t="str">
        <f>IF($B$24="Yes","A20",(IF($B$13="Fixed Outlet","W55","W30")))</f>
        <v>W55</v>
      </c>
      <c r="G53" s="409" t="str">
        <f>IF($B$24="Yes","A20",(IF($B$13="Fixed Outlet","W55","W55")))</f>
        <v>W55</v>
      </c>
      <c r="H53" s="75"/>
      <c r="I53" s="73"/>
      <c r="J53" s="60"/>
      <c r="K53" s="30"/>
      <c r="L53" s="30"/>
      <c r="M53" s="30"/>
      <c r="N53" s="59"/>
    </row>
    <row r="54" spans="1:157" ht="30.75" customHeight="1">
      <c r="A54" s="695" t="str">
        <f>IF($B$24="yes",IF($B$14=$N$3,"Source data from I.S. EN 14511 as required by I.S. EN 13141 for this heat pump type. See DEAP manual Appendix G", "'To-air' heat pump. Source from Ecodesign data or I.S. EN14825 Table 6 for air source, and Table 7 for brine/water source"),
" Source from Ecodesign data or 
"&amp;IF($B$14=$N$1, "I.S. EN14825 Table 10 for air source. 
Table 14 for brine, water or DX source. 
[These table # references are from 2016 version of this standard]",
IF($B$14=$N$2,"I.S. EN12309-6 Table 11 for air source. 
Table 23 for Brine or Water source.
[These table # references are from 2014 version of this standard]",
"")))</f>
        <v xml:space="preserve"> Source from Ecodesign data or 
I.S. EN14825 Table 10 for air source. 
Table 14 for brine, water or DX source. 
[These table # references are from 2016 version of this standard]</v>
      </c>
      <c r="B54" s="397" t="s">
        <v>335</v>
      </c>
      <c r="C54" s="371"/>
      <c r="D54" s="388"/>
      <c r="E54" s="388"/>
      <c r="F54" s="388"/>
      <c r="G54" s="413"/>
      <c r="H54" s="26"/>
      <c r="I54" s="68"/>
      <c r="J54" s="61"/>
      <c r="K54" s="30"/>
      <c r="L54" s="30"/>
      <c r="M54" s="30"/>
      <c r="N54" s="59"/>
    </row>
    <row r="55" spans="1:157" ht="42.6" customHeight="1" thickBot="1">
      <c r="A55" s="696"/>
      <c r="B55" s="400" t="s">
        <v>336</v>
      </c>
      <c r="C55" s="410"/>
      <c r="D55" s="411"/>
      <c r="E55" s="411"/>
      <c r="F55" s="411"/>
      <c r="G55" s="412"/>
      <c r="H55" s="66"/>
      <c r="I55" s="66"/>
      <c r="J55" s="61"/>
      <c r="K55" s="30"/>
      <c r="L55" s="30"/>
      <c r="M55" s="30"/>
      <c r="N55" s="59"/>
    </row>
    <row r="56" spans="1:157" ht="30.75" customHeight="1">
      <c r="A56" s="65" t="str">
        <f>B41&amp;" Application (65degC)"</f>
        <v>Very high Temperature Application (65degC)</v>
      </c>
      <c r="B56" s="401" t="s">
        <v>333</v>
      </c>
      <c r="C56" s="404" t="str">
        <f>IF(OR($B$12="Water to Water",$B$12="Water to Air"),"W10",
IF(OR($B$12="Brine to Water",$B$12="Brine to Air"),"B0",
IF($B$12=$S$4,"A20",
IF($B$12=$S$5,"E4",
"A-7"))))</f>
        <v>A-7</v>
      </c>
      <c r="D56" s="405" t="str">
        <f>IF(OR($B$12="Water to Water",$B$12="Water to Air"),"W10",
IF(OR($B$12="Brine to Water",$B$12="Brine to Air"),"B0",
IF($B$12=$S$4,"A20",
IF($B$12=$S$5,"E4",
"A2"))))</f>
        <v>A2</v>
      </c>
      <c r="E56" s="405" t="str">
        <f>IF(OR($B$12="Water to Water",$B$12="Water to Air"),"W10",
IF(OR($B$12="Brine to Water",$B$12="Brine to Air"),"B0",
IF($B$12=$S$4,"A20",
IF($B$12=$S$5,"E4",
"A7"))))</f>
        <v>A7</v>
      </c>
      <c r="F56" s="405" t="str">
        <f>IF(OR($B$12="Water to Water",$B$12="Water to Air"),"W10",
IF(OR($B$12="Brine to Water",$B$12="Brine to Air"),"B0",
IF($B$12=$S$4,"A20",
IF($B$12=$S$5,"E4",
"A12"))))</f>
        <v>A12</v>
      </c>
      <c r="G56" s="406" t="str">
        <f>IF(OR($B$12="Water to Water",$B$12="Water to Air"),"W10",
IF(OR($B$12="Brine to Water",$B$12="Brine to Air"),"B0",
IF($B$12=$S$4,"A20",
IF($B$12=$S$5,"E4",
"A"&amp;$B$15))))</f>
        <v xml:space="preserve">A </v>
      </c>
      <c r="H56" s="75"/>
      <c r="I56" s="73"/>
      <c r="J56" s="61"/>
      <c r="K56" s="30"/>
      <c r="L56" s="30"/>
      <c r="M56" s="30"/>
      <c r="N56" s="32"/>
      <c r="O56" s="32"/>
      <c r="P56" s="32"/>
      <c r="Q56" s="32"/>
      <c r="R56" s="32"/>
      <c r="S56" s="32"/>
      <c r="T56" s="32"/>
    </row>
    <row r="57" spans="1:157" ht="49.5" customHeight="1">
      <c r="A57" s="161" t="str">
        <f>"Standard: "&amp;$B$14</f>
        <v>Standard: I.S. EN 14825</v>
      </c>
      <c r="B57" s="397" t="s">
        <v>334</v>
      </c>
      <c r="C57" s="407" t="str">
        <f>IF(OR($B$12="Water to Air",$B$12="Air to Air",$B$12="Brine to Air"),"A20",(IF($B$13="Fixed Outlet","W65","W61")))</f>
        <v>W65</v>
      </c>
      <c r="D57" s="408" t="str">
        <f>IF(OR($B$12="Water to Air",$B$12="Air to Air",$B$12="Brine to Air"),"A20",(IF($B$13="Fixed Outlet","W65","W49")))</f>
        <v>W65</v>
      </c>
      <c r="E57" s="408" t="str">
        <f>IF(OR($B$12="Water to Air",$B$12="Air to Air",$B$12="Brine to Air"),"A20",(IF($B$13="Fixed Outlet","W65","W41")))</f>
        <v>W65</v>
      </c>
      <c r="F57" s="408" t="str">
        <f>IF(OR($B$12="Water to Air",$B$12="Air to Air",$B$12="Brine to Air"),"A20",(IF($B$13="Fixed Outlet","W65","W32")))</f>
        <v>W65</v>
      </c>
      <c r="G57" s="409" t="str">
        <f>IF(OR($B$12="Water to Air",$B$12="Air to Air",$B$12="Brine to Air"),"A20",(IF($B$13="Fixed Outlet","W65","W65")))</f>
        <v>W65</v>
      </c>
      <c r="H57" s="75"/>
      <c r="I57" s="73"/>
      <c r="J57" s="61"/>
      <c r="K57" s="57"/>
      <c r="L57" s="57"/>
      <c r="M57" s="57"/>
      <c r="N57" s="32"/>
      <c r="O57" s="32"/>
      <c r="P57" s="32"/>
      <c r="Q57" s="32"/>
      <c r="R57" s="32"/>
      <c r="S57" s="32"/>
      <c r="T57" s="32"/>
    </row>
    <row r="58" spans="1:157" ht="30.75" customHeight="1">
      <c r="A58" s="695" t="str">
        <f>IF($B$24="yes","No entries required here. 'To-air' heat pump",
" Source from Ecodesign data or 
"&amp;IF($B$14=$N$1, "I.S. EN14825 Table 11 for air source. 
Table 15 for brine, water or DX source. 
[These table # references are from 2016 version of this standard]",
IF($B$14=$N$2,"I.S. EN12309-6 Table 14 for air source. 
Table 26 for Brine or Water source.
[These table # references are from 2014 version of this standard]",
"")))</f>
        <v xml:space="preserve"> Source from Ecodesign data or 
I.S. EN14825 Table 11 for air source. 
Table 15 for brine, water or DX source. 
[These table # references are from 2016 version of this standard]</v>
      </c>
      <c r="B58" s="397" t="s">
        <v>335</v>
      </c>
      <c r="C58" s="371"/>
      <c r="D58" s="388"/>
      <c r="E58" s="388"/>
      <c r="F58" s="388"/>
      <c r="G58" s="413"/>
      <c r="H58" s="75"/>
      <c r="I58" s="68"/>
      <c r="J58" s="61"/>
      <c r="K58" s="64"/>
      <c r="L58" s="64"/>
      <c r="M58" s="64"/>
      <c r="N58" s="32"/>
      <c r="O58" s="32"/>
      <c r="P58" s="32"/>
      <c r="Q58" s="32"/>
      <c r="R58" s="32"/>
      <c r="S58" s="32"/>
      <c r="T58" s="32"/>
    </row>
    <row r="59" spans="1:157" ht="44.1" customHeight="1" thickBot="1">
      <c r="A59" s="696"/>
      <c r="B59" s="400" t="s">
        <v>336</v>
      </c>
      <c r="C59" s="410"/>
      <c r="D59" s="411"/>
      <c r="E59" s="411"/>
      <c r="F59" s="411"/>
      <c r="G59" s="412"/>
      <c r="H59" s="71"/>
      <c r="I59" s="45"/>
      <c r="J59" s="67"/>
      <c r="K59" s="30"/>
      <c r="L59" s="30"/>
      <c r="M59" s="30"/>
      <c r="N59" s="32"/>
      <c r="O59" s="32"/>
      <c r="P59" s="32"/>
      <c r="Q59" s="32"/>
      <c r="R59" s="32"/>
      <c r="S59" s="32"/>
      <c r="T59" s="32"/>
    </row>
    <row r="60" spans="1:157" ht="30.75" customHeight="1">
      <c r="A60" s="101"/>
      <c r="B60" s="102"/>
      <c r="C60" s="72"/>
      <c r="D60" s="72"/>
      <c r="E60" s="72"/>
      <c r="F60" s="72"/>
      <c r="G60" s="72"/>
      <c r="H60" s="71"/>
      <c r="I60" s="45"/>
      <c r="J60" s="67"/>
      <c r="K60" s="30"/>
      <c r="L60" s="30"/>
      <c r="M60" s="30"/>
      <c r="N60" s="32"/>
      <c r="O60" s="32"/>
      <c r="P60" s="32"/>
      <c r="Q60" s="32"/>
      <c r="R60" s="32"/>
      <c r="S60" s="32"/>
      <c r="T60" s="32"/>
    </row>
    <row r="61" spans="1:157" ht="30.75" customHeight="1" thickBot="1">
      <c r="A61" s="101"/>
      <c r="B61" s="102"/>
      <c r="C61" s="72"/>
      <c r="D61" s="72"/>
      <c r="E61" s="72"/>
      <c r="F61" s="72"/>
      <c r="G61" s="72"/>
      <c r="H61" s="71"/>
      <c r="I61" s="45"/>
      <c r="J61" s="67"/>
      <c r="K61" s="30"/>
      <c r="L61" s="30"/>
      <c r="M61" s="30"/>
      <c r="N61" s="32"/>
      <c r="O61" s="32"/>
      <c r="P61" s="32"/>
      <c r="Q61" s="32"/>
      <c r="R61" s="32"/>
      <c r="S61" s="32"/>
      <c r="T61" s="32"/>
    </row>
    <row r="62" spans="1:157" ht="29.25" customHeight="1" thickBot="1">
      <c r="A62" s="4" t="str">
        <f>IF(N11=FALSE,"No heat Pump for Water Heating - PROCEED TO SPACE HEATING","Heat Pump for Water Heating")</f>
        <v>Heat Pump for Water Heating</v>
      </c>
      <c r="B62" s="4"/>
      <c r="C62" s="683" t="str">
        <f>IF(N11,E231,".")</f>
        <v>Valid water heat pump type selected.</v>
      </c>
      <c r="D62" s="684"/>
      <c r="E62" s="684"/>
      <c r="F62" s="684"/>
      <c r="G62" s="684"/>
      <c r="H62" s="684"/>
      <c r="I62" s="685"/>
      <c r="J62" s="46"/>
      <c r="K62" s="45"/>
      <c r="L62" s="45"/>
      <c r="M62" s="45"/>
      <c r="P62" s="32"/>
      <c r="R62" s="26" t="s">
        <v>23</v>
      </c>
    </row>
    <row r="63" spans="1:157" ht="35.25" customHeight="1">
      <c r="A63" s="35" t="s">
        <v>274</v>
      </c>
      <c r="B63" s="373"/>
      <c r="D63" s="716" t="s">
        <v>279</v>
      </c>
      <c r="E63" s="716"/>
      <c r="F63" s="716"/>
      <c r="G63" s="127" t="s">
        <v>218</v>
      </c>
      <c r="H63" s="34"/>
      <c r="I63" s="30"/>
      <c r="J63" s="33"/>
      <c r="K63" s="45"/>
      <c r="L63" s="45"/>
      <c r="M63" s="45"/>
      <c r="P63" s="32"/>
    </row>
    <row r="64" spans="1:157" ht="52.35" customHeight="1">
      <c r="A64" s="28" t="s">
        <v>278</v>
      </c>
      <c r="B64" s="374"/>
      <c r="D64" s="716" t="s">
        <v>282</v>
      </c>
      <c r="E64" s="716"/>
      <c r="F64" s="716"/>
      <c r="G64" s="128" t="s">
        <v>221</v>
      </c>
      <c r="H64" s="34"/>
      <c r="I64" s="30"/>
      <c r="J64" s="33"/>
      <c r="K64" s="30"/>
      <c r="L64" s="30"/>
      <c r="M64" s="30"/>
      <c r="N64" s="32"/>
      <c r="O64" s="32"/>
      <c r="P64" s="32"/>
      <c r="Q64" s="32"/>
      <c r="R64" s="32"/>
      <c r="S64" s="32"/>
      <c r="T64" s="32"/>
      <c r="U64" s="32"/>
      <c r="V64" s="32"/>
      <c r="W64" s="32" t="s">
        <v>337</v>
      </c>
      <c r="X64" s="32">
        <v>1.2</v>
      </c>
      <c r="Y64" s="32"/>
      <c r="Z64" s="32"/>
      <c r="AA64" s="32"/>
      <c r="AB64" s="32"/>
      <c r="AC64" s="32"/>
      <c r="AD64" s="32"/>
      <c r="AE64" s="32"/>
      <c r="AF64" s="32"/>
      <c r="AG64" s="32"/>
      <c r="AH64" s="32"/>
      <c r="AI64" s="32"/>
      <c r="AJ64" s="32"/>
      <c r="AK64" s="32"/>
      <c r="AL64" t="s">
        <v>273</v>
      </c>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row>
    <row r="65" spans="1:157" ht="139.35" customHeight="1">
      <c r="A65" s="28" t="s">
        <v>281</v>
      </c>
      <c r="B65" s="374" t="s">
        <v>205</v>
      </c>
      <c r="C65" s="112" t="str">
        <f>IF(E190="Exhaust Air Heat Pump",
IF(LEFT(B65,7)&lt;&gt;"Exhaust","Warning: Type of heat pump selected here and in DEAPEntries tab do not match. 
Check entries",""),
IF(LEFT(B65,7)="Exhaust","Warning: Type of heat pump selected here and in DEAPEntries tab do not match. 
Check entries",""))</f>
        <v/>
      </c>
      <c r="D65" s="716" t="s">
        <v>338</v>
      </c>
      <c r="E65" s="716"/>
      <c r="F65" s="716"/>
      <c r="G65" s="100">
        <f>IF(G63=$Q$2,$X$2,$X$3)</f>
        <v>1.75</v>
      </c>
      <c r="H65" s="34"/>
      <c r="I65" s="30"/>
      <c r="J65" s="33"/>
      <c r="K65" s="30"/>
      <c r="L65" s="30"/>
      <c r="M65" s="30"/>
      <c r="N65" s="32"/>
      <c r="O65" s="32"/>
      <c r="P65" s="32"/>
      <c r="Q65" s="32"/>
      <c r="R65" s="32"/>
      <c r="S65" s="32"/>
      <c r="T65" s="32"/>
      <c r="U65" s="32"/>
      <c r="V65" s="32"/>
      <c r="W65" s="32" t="s">
        <v>276</v>
      </c>
      <c r="X65" s="32">
        <v>1.1000000000000001</v>
      </c>
      <c r="Y65" s="32"/>
      <c r="Z65" s="32"/>
      <c r="AA65" s="32"/>
      <c r="AB65" s="32"/>
      <c r="AC65" s="32"/>
      <c r="AD65" s="32"/>
      <c r="AE65" s="32"/>
      <c r="AF65" s="32"/>
      <c r="AG65" s="32"/>
      <c r="AH65" s="32"/>
      <c r="AI65" s="32"/>
      <c r="AJ65" s="32"/>
      <c r="AK65" s="32"/>
      <c r="AL65" t="s">
        <v>277</v>
      </c>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row>
    <row r="66" spans="1:157" ht="147.6" customHeight="1" thickBot="1">
      <c r="A66" s="28" t="s">
        <v>285</v>
      </c>
      <c r="B66" s="374" t="s">
        <v>209</v>
      </c>
      <c r="C66" s="230" t="str">
        <f>IF($N$12,IF(B65&amp;B66&amp;G63&amp;G64&lt;&gt;B12&amp;B13&amp;G11&amp;G12,"Warning: heat pump type; temperature control; fuel; ecodesign applicability should be the same for space and water heating",""),"")</f>
        <v/>
      </c>
      <c r="D66" s="680" t="s">
        <v>286</v>
      </c>
      <c r="E66" s="680"/>
      <c r="F66" s="680"/>
      <c r="G66" s="224" t="s">
        <v>287</v>
      </c>
      <c r="H66" s="34"/>
      <c r="I66" s="30"/>
      <c r="J66" s="33"/>
      <c r="K66" s="30"/>
      <c r="L66" s="30"/>
      <c r="M66" s="30"/>
      <c r="N66" s="32"/>
      <c r="O66" s="32"/>
      <c r="P66" s="32"/>
      <c r="Q66" s="32"/>
      <c r="R66" s="32"/>
      <c r="S66" s="32"/>
      <c r="T66" s="32"/>
      <c r="U66" s="32"/>
      <c r="V66" s="32"/>
      <c r="W66" s="32" t="s">
        <v>280</v>
      </c>
      <c r="X66" s="32">
        <v>1.1000000000000001</v>
      </c>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row>
    <row r="67" spans="1:157" ht="44.25" customHeight="1">
      <c r="A67" s="28" t="s">
        <v>339</v>
      </c>
      <c r="B67" s="374" t="s">
        <v>217</v>
      </c>
      <c r="D67" s="680" t="s">
        <v>340</v>
      </c>
      <c r="E67" s="680"/>
      <c r="F67" s="680"/>
      <c r="G67" s="224" t="str">
        <f>A232&amp;E232</f>
        <v>Heat pump type:Air to Water</v>
      </c>
      <c r="H67" s="34"/>
      <c r="I67" s="416" t="s">
        <v>341</v>
      </c>
      <c r="J67" s="417" t="s">
        <v>342</v>
      </c>
      <c r="K67" s="30"/>
      <c r="L67" s="30"/>
      <c r="M67" s="30"/>
      <c r="N67" s="32"/>
      <c r="O67" s="32"/>
      <c r="P67" s="32"/>
      <c r="Q67" s="32"/>
      <c r="R67" s="32"/>
      <c r="S67" s="32"/>
      <c r="T67" s="32"/>
      <c r="U67" s="32"/>
      <c r="V67" s="32"/>
      <c r="W67" s="32" t="s">
        <v>284</v>
      </c>
      <c r="X67" s="32">
        <v>1.1000000000000001</v>
      </c>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row>
    <row r="68" spans="1:157" ht="133.35" customHeight="1" thickBot="1">
      <c r="A68" s="28" t="s">
        <v>343</v>
      </c>
      <c r="B68" s="375" t="s">
        <v>249</v>
      </c>
      <c r="D68" s="691" t="str">
        <f>IF(OR(N11&lt;&gt;TRUE,ISNUMBER(SEARCH($B68,E235))),
"",
"ERROR: Check the option selected for water heating standard. Valid option(s) for this heat pump type as follows: "&amp;CHAR(10)&amp;E235)</f>
        <v/>
      </c>
      <c r="E68" s="691"/>
      <c r="F68" s="691"/>
      <c r="G68" s="224" t="str">
        <f>A233&amp;E233</f>
        <v>Electric or GAHP:Electricity</v>
      </c>
      <c r="H68" s="34"/>
      <c r="I68" s="418">
        <f>IF($B$68&lt;&gt;"I.S. EN 14825/14511",1,1-($B$72-J68)/($B$72-$B$71))</f>
        <v>1</v>
      </c>
      <c r="J68" s="419">
        <f>MIN($B$84,IF($B$67="Same Heat Pump providing Space Heating and Domestic Hot Water",$B$25,1000))</f>
        <v>0</v>
      </c>
      <c r="K68" s="30"/>
      <c r="L68" s="30"/>
      <c r="M68" s="30"/>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row>
    <row r="69" spans="1:157" ht="87" customHeight="1">
      <c r="A69" s="47" t="s">
        <v>344</v>
      </c>
      <c r="B69" s="378">
        <f>IF(B5="Yes",(1-DEAPEntries!B8)*DEAPEntries!B9*E192/DEAPEntries!I10,
                        (1-DEAPEntries!B8)*DEAPEntries!B9*E192)</f>
        <v>0</v>
      </c>
      <c r="C69" s="414" t="s">
        <v>345</v>
      </c>
      <c r="D69" s="680" t="s">
        <v>346</v>
      </c>
      <c r="E69" s="680"/>
      <c r="F69" s="680"/>
      <c r="G69" s="224" t="str">
        <f>A234&amp;E234</f>
        <v>Ecodesign based stds:Ecodesign applies and/or ecodesign data available</v>
      </c>
      <c r="H69" s="34"/>
      <c r="I69" s="33"/>
      <c r="J69" s="33"/>
      <c r="K69" s="30"/>
      <c r="L69" s="30"/>
      <c r="M69" s="30"/>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row>
    <row r="70" spans="1:157" ht="30.75" customHeight="1">
      <c r="A70" s="48" t="s">
        <v>347</v>
      </c>
      <c r="B70" s="374" t="s">
        <v>236</v>
      </c>
      <c r="C70" s="414"/>
      <c r="D70" s="680" t="s">
        <v>348</v>
      </c>
      <c r="E70" s="680"/>
      <c r="F70" s="680"/>
      <c r="G70" s="225"/>
      <c r="H70" s="34"/>
      <c r="I70" s="30"/>
      <c r="J70" s="46"/>
      <c r="K70" s="45"/>
      <c r="L70" s="45"/>
      <c r="M70" s="45"/>
      <c r="P70" s="32"/>
    </row>
    <row r="71" spans="1:157" ht="31.5" customHeight="1">
      <c r="A71" s="48" t="s">
        <v>349</v>
      </c>
      <c r="B71" s="436">
        <v>10</v>
      </c>
      <c r="C71" s="415" t="s">
        <v>290</v>
      </c>
      <c r="D71" s="680" t="s">
        <v>350</v>
      </c>
      <c r="E71" s="680"/>
      <c r="F71" s="680"/>
      <c r="G71" s="48"/>
      <c r="H71" s="44"/>
      <c r="I71" s="46"/>
      <c r="J71" s="46"/>
      <c r="K71" s="45"/>
      <c r="L71" s="45"/>
      <c r="M71" s="45"/>
      <c r="O71" s="32"/>
      <c r="P71" s="32"/>
    </row>
    <row r="72" spans="1:157" ht="31.5" customHeight="1">
      <c r="A72" s="48" t="s">
        <v>351</v>
      </c>
      <c r="B72" s="386">
        <f>IF(OR(B70="No Hot Water Store",B70="Integral Hot Water Storage"),60,65)</f>
        <v>65</v>
      </c>
      <c r="C72" s="415" t="s">
        <v>290</v>
      </c>
      <c r="D72" s="680" t="s">
        <v>352</v>
      </c>
      <c r="E72" s="680"/>
      <c r="F72" s="680"/>
      <c r="G72" s="48"/>
      <c r="H72" s="44" t="s">
        <v>23</v>
      </c>
      <c r="I72" s="45"/>
      <c r="J72" s="46"/>
      <c r="K72" s="30"/>
      <c r="L72" s="30"/>
      <c r="M72" s="30"/>
      <c r="O72" s="32"/>
      <c r="P72" s="32"/>
      <c r="U72" s="51"/>
      <c r="V72" s="51"/>
      <c r="W72" s="51"/>
    </row>
    <row r="73" spans="1:157" ht="31.5" customHeight="1">
      <c r="A73" s="48" t="s">
        <v>113</v>
      </c>
      <c r="B73" s="437">
        <f>DEAPEntries!B12</f>
        <v>0</v>
      </c>
      <c r="C73" s="414" t="str">
        <f>DEAPEntries!E12</f>
        <v>litres</v>
      </c>
      <c r="D73" s="680" t="str">
        <f>DEAPEntries!F12</f>
        <v>Sourced from DEAP: Water Heating: options and storage (or WH tab in DEAP workbook)</v>
      </c>
      <c r="E73" s="680">
        <f>DEAPEntries!G12</f>
        <v>0</v>
      </c>
      <c r="F73" s="680">
        <f>DEAPEntries!H12</f>
        <v>0</v>
      </c>
      <c r="H73" s="44"/>
      <c r="I73" s="45"/>
      <c r="J73" s="46"/>
      <c r="K73" s="45"/>
      <c r="L73" s="45"/>
      <c r="M73" s="45"/>
      <c r="O73" s="32"/>
      <c r="P73" s="32"/>
    </row>
    <row r="74" spans="1:157" ht="30" customHeight="1">
      <c r="A74" s="50" t="s">
        <v>353</v>
      </c>
      <c r="B74" s="388" t="s">
        <v>107</v>
      </c>
      <c r="D74" s="680" t="s">
        <v>319</v>
      </c>
      <c r="E74" s="680"/>
      <c r="F74" s="680"/>
      <c r="H74" s="44"/>
      <c r="I74" s="45"/>
      <c r="J74" s="46"/>
      <c r="K74" s="30"/>
      <c r="L74" s="30"/>
      <c r="M74" s="30"/>
    </row>
    <row r="75" spans="1:157" ht="30" customHeight="1">
      <c r="A75" s="48" t="s">
        <v>354</v>
      </c>
      <c r="B75" s="385" t="s">
        <v>218</v>
      </c>
      <c r="D75" s="680" t="s">
        <v>319</v>
      </c>
      <c r="E75" s="680"/>
      <c r="F75" s="680"/>
      <c r="H75" s="44"/>
      <c r="I75" s="45"/>
      <c r="J75" s="46"/>
      <c r="K75" s="30"/>
      <c r="L75" s="30"/>
      <c r="M75" s="30"/>
    </row>
    <row r="76" spans="1:157" ht="30" customHeight="1">
      <c r="A76" s="48" t="s">
        <v>355</v>
      </c>
      <c r="B76" s="386">
        <f>VLOOKUP(B75,W2:X12,2,)</f>
        <v>1.75</v>
      </c>
      <c r="H76" s="44"/>
      <c r="I76" s="45"/>
      <c r="J76" s="46"/>
      <c r="K76" s="45"/>
      <c r="L76" s="45"/>
      <c r="M76" s="45"/>
      <c r="P76" s="32"/>
    </row>
    <row r="77" spans="1:157" ht="83.25" customHeight="1">
      <c r="A77" s="48" t="s">
        <v>356</v>
      </c>
      <c r="B77" s="390"/>
      <c r="C77" s="414" t="s">
        <v>100</v>
      </c>
      <c r="D77" s="680" t="s">
        <v>323</v>
      </c>
      <c r="E77" s="680"/>
      <c r="F77" s="680"/>
      <c r="H77" s="44"/>
      <c r="I77" s="45"/>
      <c r="J77" s="46"/>
      <c r="K77" s="45"/>
      <c r="L77" s="45"/>
      <c r="M77" s="45"/>
      <c r="P77" s="32"/>
    </row>
    <row r="78" spans="1:157" ht="29.25" customHeight="1">
      <c r="A78" s="50" t="s">
        <v>357</v>
      </c>
      <c r="B78" s="389">
        <f>IF(B74="Yes",(G65/B76)*B77,1)</f>
        <v>1</v>
      </c>
      <c r="H78" s="44"/>
      <c r="I78" s="45"/>
      <c r="J78" s="46"/>
      <c r="K78" s="30"/>
      <c r="L78" s="30"/>
      <c r="M78" s="30"/>
      <c r="P78" s="32"/>
    </row>
    <row r="79" spans="1:157" ht="31.5" customHeight="1">
      <c r="B79" s="53"/>
      <c r="H79" s="44"/>
      <c r="I79" s="45"/>
      <c r="J79" s="46"/>
      <c r="K79" s="45"/>
      <c r="L79" s="45"/>
      <c r="M79" s="45"/>
      <c r="O79" s="32"/>
      <c r="P79" s="32"/>
    </row>
    <row r="80" spans="1:157" ht="57.6" customHeight="1" thickBot="1">
      <c r="A80" s="163" t="s">
        <v>358</v>
      </c>
      <c r="D80" s="715"/>
      <c r="E80" s="715"/>
      <c r="F80" s="715"/>
      <c r="G80" s="715"/>
      <c r="H80" s="44"/>
      <c r="I80" s="45"/>
      <c r="J80" s="76"/>
      <c r="K80" s="73"/>
      <c r="L80" s="73"/>
      <c r="M80" s="73"/>
      <c r="N80" s="32"/>
      <c r="O80" s="32"/>
      <c r="P80" s="32"/>
      <c r="Q80" s="32"/>
      <c r="R80" s="32"/>
      <c r="S80" s="32"/>
      <c r="T80" s="32"/>
    </row>
    <row r="81" spans="1:21" ht="30.75" customHeight="1">
      <c r="A81" s="438" t="s">
        <v>359</v>
      </c>
      <c r="B81" s="427" t="s">
        <v>360</v>
      </c>
      <c r="C81" s="428" t="s">
        <v>23</v>
      </c>
      <c r="D81" s="682" t="s">
        <v>361</v>
      </c>
      <c r="E81" s="682"/>
      <c r="F81" s="682"/>
      <c r="H81" s="44"/>
      <c r="I81" s="45"/>
      <c r="J81" s="72"/>
      <c r="K81" s="68"/>
      <c r="L81" s="68"/>
      <c r="M81" s="68"/>
      <c r="N81" s="32"/>
      <c r="O81" s="32"/>
      <c r="P81" s="32"/>
      <c r="Q81" s="32"/>
      <c r="R81" s="32"/>
      <c r="S81" s="32"/>
      <c r="T81" s="32"/>
      <c r="U81" s="32"/>
    </row>
    <row r="82" spans="1:21" ht="30.75" customHeight="1">
      <c r="A82" s="421" t="str">
        <f>B81</f>
        <v>Water heating energy efficiency, ηwh</v>
      </c>
      <c r="B82" s="429"/>
      <c r="C82" s="428" t="str">
        <f>IF(B81="Coefficient of Performance, COP","kW/kW","%")</f>
        <v>%</v>
      </c>
      <c r="D82" s="682" t="s">
        <v>361</v>
      </c>
      <c r="E82" s="682"/>
      <c r="F82" s="682"/>
      <c r="H82" s="44"/>
      <c r="I82" s="45"/>
      <c r="J82" s="74"/>
      <c r="K82" s="66"/>
      <c r="L82" s="66"/>
      <c r="M82" s="66"/>
      <c r="N82" s="32"/>
      <c r="O82" s="32"/>
      <c r="P82" s="32"/>
      <c r="Q82" s="32"/>
      <c r="R82" s="32"/>
      <c r="S82" s="32"/>
      <c r="T82" s="32"/>
      <c r="U82" s="32"/>
    </row>
    <row r="83" spans="1:21" ht="30.75" customHeight="1">
      <c r="A83" s="421" t="s">
        <v>362</v>
      </c>
      <c r="B83" s="430">
        <f>IF(B81="Coefficient of Performance, COP",B82,IF(G63=Q3,B82/100,B82*2.5/100))</f>
        <v>0</v>
      </c>
      <c r="C83" s="428" t="s">
        <v>363</v>
      </c>
      <c r="D83" s="431"/>
      <c r="E83" s="431"/>
      <c r="F83" s="431"/>
      <c r="H83" s="44"/>
      <c r="I83" s="45"/>
      <c r="J83" s="76"/>
      <c r="K83" s="73"/>
      <c r="L83" s="73"/>
      <c r="M83" s="73"/>
      <c r="N83" s="32"/>
      <c r="O83" s="32"/>
      <c r="P83" s="32"/>
      <c r="Q83" s="32"/>
      <c r="R83" s="32"/>
      <c r="S83" s="32"/>
      <c r="T83" s="32"/>
      <c r="U83" s="32"/>
    </row>
    <row r="84" spans="1:21" ht="98.45" customHeight="1">
      <c r="A84" s="421" t="s">
        <v>364</v>
      </c>
      <c r="B84" s="429" t="s">
        <v>23</v>
      </c>
      <c r="C84" s="432" t="s">
        <v>290</v>
      </c>
      <c r="D84" s="682" t="s">
        <v>365</v>
      </c>
      <c r="E84" s="682"/>
      <c r="F84" s="682"/>
      <c r="G84" s="112" t="str">
        <f>IF(AND(B84&gt;=52,B67="Same Heat Pump providing Space Heating and Domestic Hot Water",G10="Low temperature heat pump"),"WARNING:Where I.S. EN 14825/14511 is the water heating test standard, the low temperature heat pump may be used to provide DHW, however, hot water temperature must not exceed 52 degrees in this case. ",".")</f>
        <v>.</v>
      </c>
      <c r="H84" s="44"/>
      <c r="I84" s="45"/>
      <c r="J84" s="76"/>
      <c r="K84" s="73"/>
      <c r="L84" s="73"/>
      <c r="M84" s="73"/>
      <c r="N84" s="32"/>
      <c r="O84" s="32"/>
      <c r="P84" s="32"/>
      <c r="Q84" s="32"/>
      <c r="R84" s="32"/>
      <c r="S84" s="32"/>
      <c r="T84" s="32"/>
    </row>
    <row r="85" spans="1:21" ht="65.099999999999994" customHeight="1">
      <c r="A85" s="421" t="s">
        <v>366</v>
      </c>
      <c r="B85" s="433">
        <f>IF(B65=S1,7,IF(B65=S3,10,IF(B65=S4,20,IF(B65=S5,4,0))))</f>
        <v>7</v>
      </c>
      <c r="C85" s="432" t="s">
        <v>290</v>
      </c>
      <c r="D85" s="682" t="s">
        <v>367</v>
      </c>
      <c r="E85" s="682"/>
      <c r="F85" s="682"/>
      <c r="G85" s="112"/>
      <c r="H85" s="44"/>
      <c r="I85" s="45"/>
      <c r="J85" s="76"/>
      <c r="K85" s="73"/>
      <c r="L85" s="73"/>
      <c r="M85" s="73"/>
      <c r="N85" s="32"/>
      <c r="O85" s="32"/>
      <c r="P85" s="32"/>
      <c r="Q85" s="32"/>
      <c r="R85" s="32"/>
      <c r="S85" s="32"/>
      <c r="T85" s="32"/>
    </row>
    <row r="86" spans="1:21" ht="30.75" customHeight="1">
      <c r="A86" s="421" t="s">
        <v>368</v>
      </c>
      <c r="B86" s="429"/>
      <c r="C86" s="428" t="s">
        <v>369</v>
      </c>
      <c r="D86" s="682" t="s">
        <v>370</v>
      </c>
      <c r="E86" s="682"/>
      <c r="F86" s="682"/>
      <c r="H86" s="44"/>
      <c r="I86" s="45"/>
      <c r="J86" s="72"/>
      <c r="K86" s="68"/>
      <c r="L86" s="68"/>
      <c r="M86" s="68"/>
      <c r="N86" s="32"/>
      <c r="O86" s="32"/>
      <c r="P86" s="32"/>
      <c r="Q86" s="32"/>
      <c r="R86" s="32"/>
      <c r="S86" s="32"/>
      <c r="U86" s="32"/>
    </row>
    <row r="87" spans="1:21" ht="44.45" customHeight="1">
      <c r="A87" s="424" t="s">
        <v>371</v>
      </c>
      <c r="B87" s="434" t="s">
        <v>254</v>
      </c>
      <c r="C87" s="428"/>
      <c r="D87" s="682" t="s">
        <v>370</v>
      </c>
      <c r="E87" s="682"/>
      <c r="F87" s="682"/>
      <c r="G87" s="112" t="str">
        <f>IF(AND(B87&lt;&gt;"",$B$68="I.S. EN 14825/14511"),"Note: 'load profile', 'standby heat loss' and 'volume of DHW accounted for in test' are irrelevant for test data based on I.S. EN 14825/14511.","")</f>
        <v/>
      </c>
      <c r="H87" s="44"/>
      <c r="I87" s="45"/>
      <c r="J87" s="74"/>
      <c r="K87" s="66"/>
      <c r="L87" s="66"/>
      <c r="M87" s="66"/>
      <c r="N87" s="32"/>
      <c r="O87" s="32"/>
      <c r="P87" s="32"/>
      <c r="Q87" s="32"/>
      <c r="R87" s="32"/>
      <c r="S87" s="32"/>
    </row>
    <row r="88" spans="1:21" ht="45.6" customHeight="1">
      <c r="A88" s="424" t="s">
        <v>372</v>
      </c>
      <c r="B88" s="434"/>
      <c r="C88" s="428" t="s">
        <v>373</v>
      </c>
      <c r="D88" s="682" t="s">
        <v>374</v>
      </c>
      <c r="E88" s="682"/>
      <c r="F88" s="682"/>
      <c r="G88" s="112" t="str">
        <f>IF(AND(B88&lt;&gt;"",$B$68="I.S. EN 14825/14511"),"Note: 'load profile', 'standby heat loss' and 'volume of DHW accounted for in test' are irrelevant for test data based on I.S. EN 14825/14511.","")</f>
        <v/>
      </c>
      <c r="H88" s="44"/>
      <c r="I88" s="45"/>
      <c r="J88" s="76"/>
      <c r="K88" s="45"/>
      <c r="L88" s="45"/>
      <c r="M88" s="45"/>
      <c r="N88" s="32"/>
      <c r="O88" s="32"/>
      <c r="P88" s="32"/>
      <c r="Q88" s="32"/>
      <c r="R88" s="32"/>
      <c r="S88" s="32"/>
    </row>
    <row r="89" spans="1:21" ht="54.6" customHeight="1" thickBot="1">
      <c r="A89" s="425" t="s">
        <v>375</v>
      </c>
      <c r="B89" s="435"/>
      <c r="C89" s="428" t="s">
        <v>376</v>
      </c>
      <c r="D89" s="682" t="s">
        <v>361</v>
      </c>
      <c r="E89" s="682"/>
      <c r="F89" s="682"/>
      <c r="G89" s="112" t="str">
        <f>IF(AND(B89&lt;&gt;"",$B$68="I.S. EN 14825/14511"),"Note: 'load profile', 'standby heat loss' and 'volume of DHW accounted for in test' are irrelevant for test data based on I.S. EN 14825/14511.","")</f>
        <v/>
      </c>
      <c r="H89" s="44"/>
      <c r="I89" s="45"/>
      <c r="J89" s="76"/>
      <c r="K89" s="45"/>
      <c r="L89" s="45"/>
      <c r="M89" s="45"/>
      <c r="N89" s="32"/>
      <c r="O89" s="32"/>
      <c r="P89" s="32"/>
      <c r="Q89" s="32"/>
      <c r="R89" s="32"/>
      <c r="S89" s="32"/>
    </row>
    <row r="90" spans="1:21" ht="48" customHeight="1">
      <c r="A90" s="518" t="s">
        <v>377</v>
      </c>
      <c r="D90" s="715" t="str">
        <f>IF(B5="Yes","NOTE: Assessor must verify that the installed storage volume is greater than used in test results",IF(E219&gt;0,E221,IF(E220&gt;0,E222,"")))</f>
        <v>NOTE: Assessor must verify that the installed storage volume is greater than used in test results</v>
      </c>
      <c r="E90" s="715"/>
      <c r="F90" s="715"/>
      <c r="G90" s="715"/>
      <c r="H90" s="44"/>
      <c r="I90" s="45"/>
      <c r="J90" s="76"/>
      <c r="K90" s="30"/>
      <c r="L90" s="30"/>
      <c r="M90" s="30"/>
      <c r="N90" s="32"/>
      <c r="O90" s="32"/>
      <c r="P90" s="32"/>
      <c r="Q90" s="32"/>
      <c r="R90" s="32"/>
      <c r="S90" s="32"/>
    </row>
    <row r="91" spans="1:21" ht="30.75" customHeight="1" thickBot="1">
      <c r="A91" s="59" t="s">
        <v>378</v>
      </c>
      <c r="H91" s="44"/>
      <c r="I91" s="45"/>
      <c r="J91" s="70"/>
      <c r="K91" s="68"/>
      <c r="L91" s="68"/>
      <c r="M91" s="68"/>
      <c r="N91" s="32"/>
      <c r="O91" s="32"/>
      <c r="P91" s="32"/>
      <c r="Q91" s="32"/>
      <c r="R91" s="32"/>
      <c r="S91" s="32"/>
      <c r="T91" s="32"/>
    </row>
    <row r="92" spans="1:21" ht="30.75" customHeight="1">
      <c r="A92" s="402" t="s">
        <v>379</v>
      </c>
      <c r="B92" s="439" t="s">
        <v>134</v>
      </c>
      <c r="C92" s="414"/>
      <c r="H92" s="44"/>
      <c r="I92" s="45"/>
      <c r="J92" s="72"/>
      <c r="K92" s="68"/>
      <c r="L92" s="68"/>
      <c r="M92" s="68"/>
      <c r="N92" s="32"/>
      <c r="O92" s="32"/>
      <c r="P92" s="32"/>
      <c r="Q92" s="32"/>
      <c r="R92" s="32"/>
      <c r="S92" s="32"/>
      <c r="T92" s="32"/>
    </row>
    <row r="93" spans="1:21" ht="30.75" customHeight="1">
      <c r="A93" s="403" t="s">
        <v>380</v>
      </c>
      <c r="B93" s="422">
        <v>3.33</v>
      </c>
      <c r="C93" s="414" t="s">
        <v>363</v>
      </c>
      <c r="D93" s="680" t="s">
        <v>381</v>
      </c>
      <c r="E93" s="680"/>
      <c r="F93" s="680"/>
      <c r="H93" s="44"/>
      <c r="I93" s="45"/>
      <c r="J93" s="72"/>
      <c r="K93" s="68"/>
      <c r="L93" s="68"/>
      <c r="M93" s="68"/>
      <c r="N93" s="32"/>
      <c r="O93" s="32"/>
      <c r="P93" s="32"/>
      <c r="Q93" s="32"/>
      <c r="R93" s="32"/>
      <c r="S93" s="32"/>
      <c r="T93" s="32"/>
    </row>
    <row r="94" spans="1:21" ht="30.75" customHeight="1">
      <c r="A94" s="421" t="s">
        <v>382</v>
      </c>
      <c r="B94" s="398" t="s">
        <v>134</v>
      </c>
      <c r="C94" s="414"/>
      <c r="D94" s="680" t="s">
        <v>383</v>
      </c>
      <c r="E94" s="680"/>
      <c r="F94" s="680"/>
      <c r="H94" s="44"/>
      <c r="I94" s="45"/>
      <c r="J94" s="72"/>
      <c r="K94" s="68"/>
      <c r="L94" s="68"/>
      <c r="M94" s="68"/>
      <c r="N94" s="32"/>
      <c r="O94" s="32"/>
      <c r="P94" s="32"/>
      <c r="Q94" s="32"/>
      <c r="R94" s="32"/>
      <c r="S94" s="32"/>
      <c r="T94" s="32"/>
      <c r="U94" s="32"/>
    </row>
    <row r="95" spans="1:21" ht="30.75" customHeight="1">
      <c r="A95" s="421" t="s">
        <v>384</v>
      </c>
      <c r="B95" s="398" t="s">
        <v>107</v>
      </c>
      <c r="C95" s="440" t="s">
        <v>23</v>
      </c>
      <c r="D95" s="680" t="s">
        <v>383</v>
      </c>
      <c r="E95" s="680"/>
      <c r="F95" s="680"/>
      <c r="H95" s="44"/>
      <c r="I95" s="45"/>
      <c r="J95" s="74"/>
      <c r="K95" s="66"/>
      <c r="L95" s="66"/>
      <c r="M95" s="66"/>
      <c r="N95" s="32"/>
      <c r="O95" s="32"/>
      <c r="P95" s="32"/>
      <c r="Q95" s="32"/>
      <c r="R95" s="32"/>
      <c r="S95" s="32"/>
      <c r="T95" s="32"/>
      <c r="U95" s="32"/>
    </row>
    <row r="96" spans="1:21" ht="30.75" customHeight="1" thickBot="1">
      <c r="A96" s="425" t="str">
        <f>IF(B72=65,"Does heat pump reach a flow temperature of &gt;=65oC","Does heat pump reach a flow temperature of &gt;=60oC")</f>
        <v>Does heat pump reach a flow temperature of &gt;=65oC</v>
      </c>
      <c r="B96" s="395" t="s">
        <v>134</v>
      </c>
      <c r="C96" s="440" t="s">
        <v>23</v>
      </c>
      <c r="D96" s="680" t="s">
        <v>385</v>
      </c>
      <c r="E96" s="680"/>
      <c r="F96" s="680"/>
      <c r="H96" s="44"/>
      <c r="I96" s="45"/>
      <c r="J96" s="76"/>
      <c r="K96" s="73"/>
      <c r="L96" s="73"/>
      <c r="M96" s="73"/>
      <c r="N96" s="32"/>
      <c r="O96" s="32"/>
      <c r="P96" s="32"/>
      <c r="Q96" s="32"/>
      <c r="R96" s="32"/>
      <c r="S96" s="32"/>
      <c r="T96" s="32"/>
    </row>
    <row r="97" spans="1:20" ht="30.75" customHeight="1">
      <c r="H97" s="44"/>
      <c r="I97" s="45"/>
      <c r="J97" s="76"/>
      <c r="K97" s="73"/>
      <c r="L97" s="73"/>
      <c r="M97" s="73"/>
      <c r="N97" s="32"/>
      <c r="O97" s="32"/>
      <c r="P97" s="32"/>
      <c r="Q97" s="32"/>
      <c r="R97" s="32"/>
      <c r="S97" s="32"/>
      <c r="T97" s="32"/>
    </row>
    <row r="98" spans="1:20" ht="33" customHeight="1">
      <c r="H98" s="44"/>
      <c r="I98" s="45"/>
      <c r="J98" s="46"/>
      <c r="K98" s="30"/>
      <c r="L98" s="30"/>
      <c r="M98" s="30"/>
      <c r="N98" s="32"/>
      <c r="O98" s="32"/>
      <c r="P98" s="32"/>
      <c r="Q98" s="32"/>
      <c r="R98" s="32"/>
      <c r="S98" s="32"/>
    </row>
    <row r="99" spans="1:20" ht="33" customHeight="1" thickBot="1">
      <c r="A99" s="59" t="s">
        <v>386</v>
      </c>
      <c r="H99" s="44"/>
      <c r="I99" s="45"/>
      <c r="J99" s="46"/>
      <c r="K99" s="30"/>
      <c r="L99" s="30"/>
      <c r="M99" s="30"/>
    </row>
    <row r="100" spans="1:20" ht="33" customHeight="1">
      <c r="A100" s="420" t="s">
        <v>387</v>
      </c>
      <c r="B100" s="441">
        <v>3.2</v>
      </c>
      <c r="C100" s="414" t="s">
        <v>363</v>
      </c>
      <c r="D100" s="680" t="s">
        <v>388</v>
      </c>
      <c r="E100" s="680"/>
      <c r="F100" s="680"/>
      <c r="H100" s="44"/>
      <c r="I100" s="45"/>
      <c r="J100" s="60"/>
      <c r="K100" s="45"/>
      <c r="L100" s="45"/>
      <c r="M100" s="30"/>
      <c r="N100" s="26" t="s">
        <v>23</v>
      </c>
    </row>
    <row r="101" spans="1:20" ht="37.5" customHeight="1">
      <c r="A101" s="421" t="s">
        <v>364</v>
      </c>
      <c r="B101" s="422">
        <v>54</v>
      </c>
      <c r="C101" s="415" t="s">
        <v>290</v>
      </c>
      <c r="D101" s="680" t="s">
        <v>389</v>
      </c>
      <c r="E101" s="680"/>
      <c r="F101" s="680"/>
      <c r="H101" s="44"/>
      <c r="I101" s="45"/>
      <c r="J101" s="46"/>
      <c r="K101" s="45"/>
      <c r="L101" s="45"/>
      <c r="M101" s="45"/>
      <c r="N101" s="26" t="s">
        <v>23</v>
      </c>
    </row>
    <row r="102" spans="1:20" ht="31.5" customHeight="1" thickBot="1">
      <c r="A102" s="425" t="s">
        <v>390</v>
      </c>
      <c r="B102" s="426">
        <v>7</v>
      </c>
      <c r="C102" s="414" t="s">
        <v>369</v>
      </c>
      <c r="D102" s="680" t="s">
        <v>388</v>
      </c>
      <c r="E102" s="680"/>
      <c r="F102" s="680"/>
      <c r="H102" s="44"/>
      <c r="I102" s="45"/>
      <c r="J102" s="46"/>
      <c r="K102" s="45"/>
      <c r="L102" s="45"/>
      <c r="M102" s="45"/>
    </row>
    <row r="103" spans="1:20" ht="31.5" customHeight="1" thickBot="1">
      <c r="H103" s="44"/>
      <c r="I103" s="45"/>
      <c r="J103" s="46"/>
      <c r="K103" s="45"/>
      <c r="L103" s="45"/>
      <c r="M103" s="45"/>
    </row>
    <row r="104" spans="1:20" ht="31.5" customHeight="1" thickBot="1">
      <c r="A104" s="43" t="s">
        <v>391</v>
      </c>
      <c r="B104" s="56"/>
      <c r="C104" s="56"/>
      <c r="D104" s="31"/>
      <c r="E104" s="31"/>
      <c r="F104" s="31"/>
      <c r="G104" s="31"/>
      <c r="H104" s="31"/>
      <c r="I104" s="31"/>
      <c r="J104" s="46"/>
      <c r="K104" s="45"/>
      <c r="L104" s="45"/>
      <c r="M104" s="45"/>
    </row>
    <row r="105" spans="1:20" ht="31.5" customHeight="1" thickBot="1">
      <c r="A105" s="77" t="s">
        <v>392</v>
      </c>
      <c r="H105" s="44"/>
      <c r="I105" s="45"/>
      <c r="J105" s="46"/>
      <c r="K105" s="45"/>
      <c r="L105" s="45"/>
      <c r="M105" s="45"/>
    </row>
    <row r="106" spans="1:20" ht="31.5" customHeight="1">
      <c r="A106" s="442" t="s">
        <v>393</v>
      </c>
      <c r="B106" s="443" t="e">
        <f>IF(OR(B14=N1,B14=N2, B14=N3),E201,B93)</f>
        <v>#DIV/0!</v>
      </c>
      <c r="C106" s="414" t="s">
        <v>100</v>
      </c>
      <c r="D106" s="681"/>
      <c r="E106" s="681"/>
      <c r="F106" s="681"/>
      <c r="G106" s="414" t="s">
        <v>23</v>
      </c>
      <c r="H106" s="444"/>
      <c r="I106" s="445"/>
      <c r="J106" s="46"/>
      <c r="K106" s="45"/>
      <c r="L106" s="45"/>
      <c r="M106" s="45"/>
    </row>
    <row r="107" spans="1:20" ht="31.5" customHeight="1">
      <c r="A107" s="446" t="s">
        <v>394</v>
      </c>
      <c r="B107" s="447">
        <f>IF(OR(B14=N1,B14=N2, B14=N3),1,IF(B25=35,1,IF(B25&lt;50,0.85,IF(B94="Yes",0.75,0.7))))</f>
        <v>1</v>
      </c>
      <c r="C107" s="414"/>
      <c r="D107" s="681"/>
      <c r="E107" s="681"/>
      <c r="F107" s="681"/>
      <c r="G107" s="414"/>
      <c r="H107" s="444"/>
      <c r="I107" s="445"/>
      <c r="J107" s="46"/>
      <c r="K107" s="45"/>
      <c r="L107" s="45"/>
      <c r="M107" s="45"/>
    </row>
    <row r="108" spans="1:20" ht="31.5" customHeight="1">
      <c r="A108" s="446" t="s">
        <v>395</v>
      </c>
      <c r="B108" s="448" t="e">
        <f>IF(OR(B68=N5,B68=N7, B68=N8),E213,IF(B68="I.S. EN 255-3",E217,E218))</f>
        <v>#DIV/0!</v>
      </c>
      <c r="C108" s="414" t="s">
        <v>100</v>
      </c>
      <c r="D108" s="681"/>
      <c r="E108" s="681"/>
      <c r="F108" s="681"/>
      <c r="G108" s="414"/>
      <c r="H108" s="444"/>
      <c r="I108" s="445"/>
      <c r="J108" s="60"/>
      <c r="K108" s="45"/>
      <c r="L108" s="45"/>
      <c r="M108" s="45"/>
    </row>
    <row r="109" spans="1:20" ht="31.5" customHeight="1" thickBot="1">
      <c r="A109" s="449" t="s">
        <v>396</v>
      </c>
      <c r="B109" s="450">
        <f>IF(B68="I.S. EN 14511",IF(AND(B95="No",B96="Yes"),0.7,1),1)</f>
        <v>1</v>
      </c>
      <c r="C109" s="414"/>
      <c r="D109" s="681"/>
      <c r="E109" s="681"/>
      <c r="F109" s="681"/>
      <c r="G109" s="414"/>
      <c r="H109" s="444"/>
      <c r="I109" s="445"/>
      <c r="J109" s="60"/>
      <c r="K109" s="45"/>
      <c r="L109" s="45"/>
      <c r="M109" s="45"/>
    </row>
    <row r="110" spans="1:20" ht="16.5" thickBot="1">
      <c r="A110" s="414"/>
      <c r="B110" s="414"/>
      <c r="C110" s="414"/>
      <c r="D110" s="423"/>
      <c r="E110" s="423"/>
      <c r="F110" s="423"/>
      <c r="G110" s="445"/>
      <c r="H110" s="444"/>
      <c r="I110" s="445"/>
      <c r="J110" s="60"/>
      <c r="K110" s="45"/>
      <c r="L110" s="45"/>
      <c r="M110" s="45"/>
    </row>
    <row r="111" spans="1:20" ht="31.5" customHeight="1" thickBot="1">
      <c r="A111" s="451" t="s">
        <v>397</v>
      </c>
      <c r="B111" s="452">
        <f>MAX(E207,0)</f>
        <v>1</v>
      </c>
      <c r="C111" s="423" t="s">
        <v>398</v>
      </c>
      <c r="D111" s="423"/>
      <c r="E111" s="423"/>
      <c r="F111" s="423"/>
      <c r="G111" s="453" t="s">
        <v>399</v>
      </c>
      <c r="H111" s="444"/>
      <c r="I111" s="445"/>
      <c r="J111" s="60"/>
      <c r="K111" s="45"/>
      <c r="L111" s="45"/>
      <c r="M111" s="45"/>
    </row>
    <row r="112" spans="1:20" ht="36.75" customHeight="1" thickBot="1">
      <c r="A112" s="451" t="s">
        <v>400</v>
      </c>
      <c r="B112" s="452">
        <f>MAX(E216,0)</f>
        <v>1</v>
      </c>
      <c r="C112" s="423" t="s">
        <v>398</v>
      </c>
      <c r="D112" s="423"/>
      <c r="E112" s="423"/>
      <c r="F112" s="423"/>
      <c r="G112" s="454">
        <f>IF(OR(LEFT(B12,7)="Exhaust",LEFT(B65,7)="Exhaust"),E195,0)</f>
        <v>0</v>
      </c>
      <c r="H112" s="444"/>
      <c r="I112" s="445"/>
      <c r="J112" s="46"/>
      <c r="K112" s="45"/>
      <c r="L112" s="45"/>
      <c r="M112" s="45"/>
    </row>
    <row r="113" spans="1:14">
      <c r="A113" s="414"/>
      <c r="B113" s="414"/>
      <c r="C113" s="414"/>
      <c r="D113" s="423"/>
      <c r="E113" s="423"/>
      <c r="F113" s="423"/>
      <c r="G113" s="453" t="s">
        <v>401</v>
      </c>
      <c r="H113" s="444"/>
      <c r="I113" s="445"/>
      <c r="J113" s="46"/>
      <c r="K113" s="45"/>
      <c r="L113" s="45"/>
      <c r="M113" s="45"/>
    </row>
    <row r="114" spans="1:14" ht="16.5" thickBot="1">
      <c r="A114" s="414"/>
      <c r="B114" s="455"/>
      <c r="C114" s="414"/>
      <c r="D114" s="423"/>
      <c r="E114" s="423"/>
      <c r="F114" s="423"/>
      <c r="G114" s="456" t="b">
        <f>IF(E193="No",FALSE,TRUE)</f>
        <v>0</v>
      </c>
      <c r="H114" s="444"/>
      <c r="I114" s="445"/>
      <c r="J114" s="46"/>
      <c r="K114" s="45"/>
      <c r="L114" s="45"/>
      <c r="M114" s="45"/>
    </row>
    <row r="115" spans="1:14" ht="53.45" customHeight="1">
      <c r="A115" s="442" t="s">
        <v>402</v>
      </c>
      <c r="B115" s="457" t="e">
        <f>IF(B14="I.S. EN 14511",1,E203/E199)</f>
        <v>#DIV/0!</v>
      </c>
      <c r="C115" s="458" t="s">
        <v>403</v>
      </c>
      <c r="D115" s="459" t="e">
        <f>IF(B14=N4,IF(B5="No",B17,B17*B8/B7),E203)</f>
        <v>#DIV/0!</v>
      </c>
      <c r="E115" s="423" t="s">
        <v>404</v>
      </c>
      <c r="F115" s="460" t="e">
        <f>IF(B14="I.S. EN 14511",(B106*B107)*100,E204*100)</f>
        <v>#DIV/0!</v>
      </c>
      <c r="G115" s="414"/>
      <c r="H115" s="444"/>
      <c r="I115" s="445"/>
      <c r="J115" s="46"/>
      <c r="K115" s="45"/>
      <c r="L115" s="45"/>
      <c r="M115" s="45"/>
    </row>
    <row r="116" spans="1:14" ht="45" customHeight="1" thickBot="1">
      <c r="A116" s="449" t="s">
        <v>405</v>
      </c>
      <c r="B116" s="461" t="e">
        <f>IF(OR(B68=N5,B68=N7, B68=N8),1-E210,1)</f>
        <v>#VALUE!</v>
      </c>
      <c r="C116" s="458" t="s">
        <v>406</v>
      </c>
      <c r="D116" s="462" t="e">
        <f>IF(OR(B68=N5,B68=N7,B68=N8),E215,IF(B5="No",B69,B69*B8/B7))</f>
        <v>#DIV/0!</v>
      </c>
      <c r="E116" s="423" t="s">
        <v>407</v>
      </c>
      <c r="F116" s="463">
        <f>IF(OR(B68=N5,B68=N7,B68=N8),E209*100,(B108*B109)*100)</f>
        <v>0</v>
      </c>
      <c r="G116" s="414"/>
      <c r="H116" s="444"/>
      <c r="I116" s="445"/>
      <c r="J116" s="46"/>
      <c r="K116" s="30"/>
      <c r="L116" s="30"/>
      <c r="M116" s="30"/>
    </row>
    <row r="117" spans="1:14" ht="30.75" customHeight="1" thickBot="1">
      <c r="A117" s="414"/>
      <c r="B117" s="414"/>
      <c r="C117" s="414"/>
      <c r="D117" s="423"/>
      <c r="E117" s="423"/>
      <c r="F117" s="423"/>
      <c r="G117" s="414"/>
      <c r="H117" s="444"/>
      <c r="I117" s="445"/>
      <c r="J117" s="46"/>
      <c r="K117" s="30"/>
      <c r="L117" s="30"/>
      <c r="M117" s="30"/>
    </row>
    <row r="118" spans="1:14" ht="31.5" customHeight="1" thickBot="1">
      <c r="A118" s="464" t="s">
        <v>408</v>
      </c>
      <c r="B118" s="465"/>
      <c r="C118" s="465"/>
      <c r="D118" s="466"/>
      <c r="E118" s="466"/>
      <c r="F118" s="466"/>
      <c r="G118" s="466"/>
      <c r="H118" s="466"/>
      <c r="I118" s="466"/>
      <c r="J118" s="46"/>
      <c r="K118" s="45"/>
      <c r="L118" s="45"/>
      <c r="M118" s="45"/>
    </row>
    <row r="119" spans="1:14" ht="18.75" customHeight="1" thickBot="1">
      <c r="A119" s="414"/>
      <c r="B119" s="414"/>
      <c r="C119" s="414"/>
      <c r="D119" s="423"/>
      <c r="E119" s="423"/>
      <c r="F119" s="423"/>
      <c r="G119" s="414"/>
      <c r="H119" s="444"/>
      <c r="I119" s="445"/>
      <c r="J119" s="60"/>
      <c r="K119" s="45"/>
      <c r="L119" s="45"/>
      <c r="M119" s="45"/>
      <c r="N119" s="55" t="s">
        <v>23</v>
      </c>
    </row>
    <row r="120" spans="1:14" ht="43.35" customHeight="1">
      <c r="A120" s="467" t="s">
        <v>409</v>
      </c>
      <c r="B120" s="468" t="s">
        <v>410</v>
      </c>
      <c r="C120" s="469" t="s">
        <v>411</v>
      </c>
      <c r="D120" s="470" t="s">
        <v>412</v>
      </c>
      <c r="E120" s="471" t="s">
        <v>413</v>
      </c>
      <c r="F120" s="472" t="s">
        <v>414</v>
      </c>
      <c r="G120" s="414"/>
      <c r="H120" s="444"/>
      <c r="I120" s="445"/>
      <c r="J120" s="58"/>
      <c r="K120" s="57"/>
      <c r="L120" s="57"/>
      <c r="M120" s="57"/>
    </row>
    <row r="121" spans="1:14" ht="30.75" customHeight="1">
      <c r="A121" s="473" t="s">
        <v>202</v>
      </c>
      <c r="B121" s="474" t="e">
        <f>F115</f>
        <v>#DIV/0!</v>
      </c>
      <c r="C121" s="475" t="e">
        <f>IF($B$5="No",D115,D115*$B$7/$B$8)</f>
        <v>#DIV/0!</v>
      </c>
      <c r="D121" s="475" t="e">
        <f>100*C121/B121</f>
        <v>#DIV/0!</v>
      </c>
      <c r="E121" s="476" t="e">
        <f>(C121-D121)</f>
        <v>#DIV/0!</v>
      </c>
      <c r="F121" s="477" t="e">
        <f>IF(OR(B14=N1,B14=N2,B14=N3),
IF($B$5="No",E121-E205,
             B8*E121/B7-E205),"N/A")</f>
        <v>#DIV/0!</v>
      </c>
      <c r="G121" s="478"/>
      <c r="H121" s="423"/>
      <c r="I121" s="479"/>
      <c r="J121" s="46"/>
      <c r="K121" s="45"/>
      <c r="L121" s="45"/>
      <c r="M121" s="45"/>
    </row>
    <row r="122" spans="1:14" ht="30.75" customHeight="1" thickBot="1">
      <c r="A122" s="480" t="s">
        <v>415</v>
      </c>
      <c r="B122" s="481">
        <f>F116</f>
        <v>0</v>
      </c>
      <c r="C122" s="482" t="e">
        <f>IF($B$5="No",D116,D116*$B$7/$B$8)</f>
        <v>#DIV/0!</v>
      </c>
      <c r="D122" s="482" t="e">
        <f>100*C122/B122</f>
        <v>#DIV/0!</v>
      </c>
      <c r="E122" s="483" t="e">
        <f>(C122-D122)</f>
        <v>#DIV/0!</v>
      </c>
      <c r="F122" s="484" t="e">
        <f>IF(OR(B68=N5,B68=N7,B68=N8),
IF(B5="No",E122-E214,
       B8*E122/B7-E214),
"N/A")</f>
        <v>#DIV/0!</v>
      </c>
      <c r="G122" s="478"/>
      <c r="H122" s="423"/>
      <c r="I122" s="479"/>
      <c r="J122" s="46"/>
      <c r="K122" s="45"/>
      <c r="L122" s="45"/>
      <c r="M122" s="45"/>
    </row>
    <row r="123" spans="1:14" ht="38.450000000000003" customHeight="1">
      <c r="A123" s="485" t="s">
        <v>416</v>
      </c>
      <c r="B123" s="468" t="s">
        <v>410</v>
      </c>
      <c r="C123" s="469" t="s">
        <v>411</v>
      </c>
      <c r="D123" s="470" t="s">
        <v>412</v>
      </c>
      <c r="E123" s="471" t="s">
        <v>413</v>
      </c>
      <c r="F123" s="486" t="s">
        <v>417</v>
      </c>
      <c r="G123" s="414"/>
      <c r="H123" s="423"/>
      <c r="I123" s="479"/>
      <c r="J123" s="46"/>
      <c r="K123" s="45"/>
      <c r="L123" s="45"/>
      <c r="M123" s="45"/>
    </row>
    <row r="124" spans="1:14" ht="30.75" customHeight="1">
      <c r="A124" s="473" t="s">
        <v>202</v>
      </c>
      <c r="B124" s="474" t="e">
        <f>B106*100</f>
        <v>#DIV/0!</v>
      </c>
      <c r="C124" s="475" t="e">
        <f>IF($B$5="No",E199,E199*$B$7/$B$8)</f>
        <v>#DIV/0!</v>
      </c>
      <c r="D124" s="475" t="e">
        <f>100*C124/B124</f>
        <v>#DIV/0!</v>
      </c>
      <c r="E124" s="476" t="e">
        <f>(C124-D124)</f>
        <v>#DIV/0!</v>
      </c>
      <c r="F124" s="477" t="e">
        <f>IF(OR(B14=N1,B14=N2,B14=N3),
-E124+
IF(B5="No",(E199-E200),
(B7/B8)*((E199-E200))),
"N/A")</f>
        <v>#DIV/0!</v>
      </c>
      <c r="G124" s="414"/>
      <c r="H124" s="423"/>
      <c r="I124" s="479"/>
      <c r="J124" s="46"/>
      <c r="K124" s="45"/>
      <c r="L124" s="45"/>
      <c r="M124" s="45"/>
    </row>
    <row r="125" spans="1:14" ht="30.75" customHeight="1" thickBot="1">
      <c r="A125" s="480" t="s">
        <v>415</v>
      </c>
      <c r="B125" s="481" t="e">
        <f>B108*100</f>
        <v>#DIV/0!</v>
      </c>
      <c r="C125" s="475" t="e">
        <f>IF($B$5="No",E211,E211*$B$7/$B$8)</f>
        <v>#DIV/0!</v>
      </c>
      <c r="D125" s="482" t="e">
        <f>100*C125/B125</f>
        <v>#DIV/0!</v>
      </c>
      <c r="E125" s="483" t="e">
        <f>(C125-D125)</f>
        <v>#DIV/0!</v>
      </c>
      <c r="F125" s="484" t="e">
        <f>IF(OR(B68=N5,B68=N7,B68=N8),
-E125+
IF(B5="no",(E211-E212),
(B7/B8)*(E211-E212)),
"N/A")</f>
        <v>#DIV/0!</v>
      </c>
      <c r="G125" s="414"/>
      <c r="H125" s="423"/>
      <c r="I125" s="479"/>
      <c r="J125" s="46"/>
      <c r="K125" s="45"/>
      <c r="L125" s="45"/>
      <c r="M125" s="45"/>
    </row>
    <row r="126" spans="1:14" ht="71.45" customHeight="1">
      <c r="A126" s="467" t="s">
        <v>418</v>
      </c>
      <c r="B126" s="487" t="s">
        <v>419</v>
      </c>
      <c r="C126" s="487" t="s">
        <v>420</v>
      </c>
      <c r="D126" s="487" t="s">
        <v>421</v>
      </c>
      <c r="E126" s="487" t="s">
        <v>422</v>
      </c>
      <c r="F126" s="488" t="s">
        <v>423</v>
      </c>
      <c r="G126" s="489" t="s">
        <v>424</v>
      </c>
      <c r="H126" s="489" t="s">
        <v>425</v>
      </c>
      <c r="I126" s="489" t="s">
        <v>426</v>
      </c>
      <c r="J126" s="46"/>
      <c r="K126" s="45"/>
      <c r="L126" s="45"/>
      <c r="M126" s="45"/>
    </row>
    <row r="127" spans="1:14" ht="38.450000000000003" customHeight="1">
      <c r="A127" s="473" t="s">
        <v>202</v>
      </c>
      <c r="B127" s="490" t="e">
        <f>E121-E124</f>
        <v>#DIV/0!</v>
      </c>
      <c r="C127" s="490" t="e">
        <f>-(1-$B$111)*E121</f>
        <v>#DIV/0!</v>
      </c>
      <c r="D127" s="649">
        <v>0</v>
      </c>
      <c r="E127" s="490">
        <f>IF($G$114,-E124-B127-C127,0)</f>
        <v>0</v>
      </c>
      <c r="F127" s="491" t="e">
        <f>SUM(B127:E127)</f>
        <v>#DIV/0!</v>
      </c>
      <c r="G127" s="492" t="e">
        <f>E124</f>
        <v>#DIV/0!</v>
      </c>
      <c r="H127" s="492" t="e">
        <f>IF($G$114=TRUE,0,E121*B111)</f>
        <v>#DIV/0!</v>
      </c>
      <c r="I127" s="493" t="e">
        <f>G127+F127-H127</f>
        <v>#DIV/0!</v>
      </c>
      <c r="J127" s="46"/>
      <c r="K127" s="45"/>
      <c r="L127" s="45"/>
      <c r="M127" s="45"/>
    </row>
    <row r="128" spans="1:14" ht="16.5" thickBot="1">
      <c r="A128" s="480" t="s">
        <v>415</v>
      </c>
      <c r="B128" s="494" t="e">
        <f>E122-E125</f>
        <v>#DIV/0!</v>
      </c>
      <c r="C128" s="647" t="e">
        <f>-(1-$B$112)*E122</f>
        <v>#DIV/0!</v>
      </c>
      <c r="D128" s="490">
        <v>0</v>
      </c>
      <c r="E128" s="648">
        <f>IF($G$114,-E125-B128-C128,0)</f>
        <v>0</v>
      </c>
      <c r="F128" s="653" t="e">
        <f>SUM(B128:E128)</f>
        <v>#DIV/0!</v>
      </c>
      <c r="G128" s="656" t="e">
        <f>E125</f>
        <v>#DIV/0!</v>
      </c>
      <c r="H128" s="492" t="e">
        <f>IF($G$114=TRUE,0,E122*B112)</f>
        <v>#DIV/0!</v>
      </c>
      <c r="I128" s="493" t="e">
        <f>G128+F128-H128</f>
        <v>#DIV/0!</v>
      </c>
      <c r="J128" s="46"/>
      <c r="K128" s="45"/>
      <c r="L128" s="45"/>
      <c r="M128" s="45"/>
    </row>
    <row r="129" spans="1:13" ht="32.25" customHeight="1">
      <c r="A129" s="414"/>
      <c r="B129" s="414"/>
      <c r="C129" s="414"/>
      <c r="D129" s="423"/>
      <c r="E129" s="423"/>
      <c r="F129" s="423"/>
      <c r="G129" s="414"/>
      <c r="H129" s="423"/>
      <c r="I129" s="479"/>
      <c r="J129" s="46"/>
      <c r="K129" s="30"/>
      <c r="L129" s="30"/>
      <c r="M129" s="30"/>
    </row>
    <row r="187" spans="1:13" ht="16.5" thickBot="1">
      <c r="A187" s="242" t="s">
        <v>427</v>
      </c>
      <c r="B187" s="242"/>
      <c r="C187" s="242"/>
      <c r="D187" s="243"/>
      <c r="E187" s="243"/>
      <c r="F187" s="243"/>
      <c r="G187" s="242"/>
      <c r="H187" s="243"/>
      <c r="I187" s="244"/>
      <c r="J187" s="242"/>
      <c r="K187" s="244"/>
      <c r="L187" s="244"/>
    </row>
    <row r="188" spans="1:13" ht="16.5" thickBot="1">
      <c r="A188" s="249" t="s">
        <v>84</v>
      </c>
      <c r="B188" s="253" t="s">
        <v>116</v>
      </c>
      <c r="C188" s="253" t="s">
        <v>117</v>
      </c>
      <c r="D188" s="253" t="s">
        <v>118</v>
      </c>
      <c r="E188" s="256" t="s">
        <v>428</v>
      </c>
      <c r="F188" s="253"/>
      <c r="G188" s="253"/>
      <c r="H188" s="256"/>
      <c r="I188" s="256">
        <v>1</v>
      </c>
      <c r="J188" s="256">
        <v>2</v>
      </c>
      <c r="K188" s="256">
        <v>3</v>
      </c>
      <c r="L188" s="256" t="s">
        <v>119</v>
      </c>
      <c r="M188" s="256" t="s">
        <v>428</v>
      </c>
    </row>
    <row r="189" spans="1:13" ht="31.5">
      <c r="A189" s="251" t="s">
        <v>120</v>
      </c>
      <c r="B189" s="260" t="str">
        <f>INDEX(DEAPEntries!$B$13:$D$20,MATCH($A189,DEAPEntries!$A$13:$A$20,0),MATCH(B$188,DEAPEntries!$B$13:$D$13,0))</f>
        <v>Heat Pump</v>
      </c>
      <c r="C189" s="260" t="str">
        <f>INDEX(DEAPEntries!$B$13:$D$20,MATCH($A189,DEAPEntries!$A$13:$A$20,0),MATCH(C$188,DEAPEntries!$B$13:$D$13,0))</f>
        <v>Heat Pump</v>
      </c>
      <c r="D189" s="260" t="str">
        <f>INDEX(DEAPEntries!$B$13:$D$20,MATCH($A189,DEAPEntries!$A$13:$A$20,0),MATCH(D$188,DEAPEntries!$B$13:$D$13,0))</f>
        <v>Heat Pump</v>
      </c>
      <c r="E189" s="257" t="str">
        <f t="shared" ref="E189:E195" si="1">VLOOKUP(A189,A189:D189,$G$1+1,FALSE)</f>
        <v>Heat Pump</v>
      </c>
      <c r="F189" s="245"/>
      <c r="G189" s="243"/>
      <c r="H189" s="264" t="s">
        <v>122</v>
      </c>
      <c r="I189" s="263" t="b">
        <f t="shared" ref="I189:K190" si="2">IF(B189="None",FALSE,TRUE)</f>
        <v>1</v>
      </c>
      <c r="J189" s="261" t="b">
        <f t="shared" si="2"/>
        <v>1</v>
      </c>
      <c r="K189" s="261" t="b">
        <f t="shared" si="2"/>
        <v>1</v>
      </c>
      <c r="L189" s="261" t="b">
        <f>IF(OR(I189,J189,K189),TRUE,FALSE)</f>
        <v>1</v>
      </c>
      <c r="M189" s="257" t="b">
        <f>VLOOKUP(H189,H189:L189,$G$1+1,FALSE)</f>
        <v>1</v>
      </c>
    </row>
    <row r="190" spans="1:13">
      <c r="A190" s="251" t="s">
        <v>123</v>
      </c>
      <c r="B190" s="260" t="str">
        <f>INDEX(DEAPEntries!$B$13:$D$20,MATCH($A190,DEAPEntries!$A$13:$A$20,0),MATCH(B$188,DEAPEntries!$B$13:$D$13,0))</f>
        <v>Heat Pump</v>
      </c>
      <c r="C190" s="260" t="str">
        <f>INDEX(DEAPEntries!$B$13:$D$20,MATCH($A190,DEAPEntries!$A$13:$A$20,0),MATCH(C$188,DEAPEntries!$B$13:$D$13,0))</f>
        <v>Heat Pump</v>
      </c>
      <c r="D190" s="260" t="str">
        <f>INDEX(DEAPEntries!$B$13:$D$20,MATCH($A190,DEAPEntries!$A$13:$A$20,0),MATCH(D$188,DEAPEntries!$B$13:$D$13,0))</f>
        <v>Heat Pump</v>
      </c>
      <c r="E190" s="257" t="str">
        <f t="shared" si="1"/>
        <v>Heat Pump</v>
      </c>
      <c r="F190" s="245"/>
      <c r="G190" s="243"/>
      <c r="H190" s="264" t="s">
        <v>124</v>
      </c>
      <c r="I190" s="263" t="b">
        <f t="shared" si="2"/>
        <v>1</v>
      </c>
      <c r="J190" s="261" t="b">
        <f t="shared" si="2"/>
        <v>1</v>
      </c>
      <c r="K190" s="261" t="b">
        <f t="shared" si="2"/>
        <v>1</v>
      </c>
      <c r="L190" s="261" t="b">
        <f>IF(OR(I190,J190,K190),TRUE,FALSE)</f>
        <v>1</v>
      </c>
      <c r="M190" s="257" t="b">
        <f>VLOOKUP(H190,H190:L190,$G$1+1,FALSE)</f>
        <v>1</v>
      </c>
    </row>
    <row r="191" spans="1:13">
      <c r="A191" s="251" t="s">
        <v>125</v>
      </c>
      <c r="B191" s="266">
        <f>INDEX(DEAPEntries!$B$13:$D$20,MATCH($A191,DEAPEntries!$A$13:$A$20,0),MATCH(B$188,DEAPEntries!$B$13:$D$13,0))</f>
        <v>1</v>
      </c>
      <c r="C191" s="266">
        <f>INDEX(DEAPEntries!$B$13:$D$20,MATCH($A191,DEAPEntries!$A$13:$A$20,0),MATCH(C$188,DEAPEntries!$B$13:$D$13,0))</f>
        <v>0</v>
      </c>
      <c r="D191" s="266">
        <f>INDEX(DEAPEntries!$B$13:$D$20,MATCH($A191,DEAPEntries!$A$13:$A$20,0),MATCH(D$188,DEAPEntries!$B$13:$D$13,0))</f>
        <v>0</v>
      </c>
      <c r="E191" s="267">
        <f t="shared" si="1"/>
        <v>1</v>
      </c>
      <c r="F191" s="245"/>
      <c r="G191" s="243"/>
      <c r="H191" s="243"/>
      <c r="I191" s="254"/>
      <c r="J191" s="250"/>
      <c r="K191" s="250"/>
      <c r="L191" s="254"/>
    </row>
    <row r="192" spans="1:13">
      <c r="A192" s="251" t="s">
        <v>128</v>
      </c>
      <c r="B192" s="266">
        <f>INDEX(DEAPEntries!$B$13:$D$20,MATCH($A192,DEAPEntries!$A$13:$A$20,0),MATCH(B$188,DEAPEntries!$B$13:$D$13,0))</f>
        <v>1</v>
      </c>
      <c r="C192" s="266">
        <f>INDEX(DEAPEntries!$B$13:$D$20,MATCH($A192,DEAPEntries!$A$13:$A$20,0),MATCH(C$188,DEAPEntries!$B$13:$D$13,0))</f>
        <v>0</v>
      </c>
      <c r="D192" s="266">
        <f>INDEX(DEAPEntries!$B$13:$D$20,MATCH($A192,DEAPEntries!$A$13:$A$20,0),MATCH(D$188,DEAPEntries!$B$13:$D$13,0))</f>
        <v>0</v>
      </c>
      <c r="E192" s="267">
        <f t="shared" si="1"/>
        <v>1</v>
      </c>
      <c r="F192" s="245"/>
      <c r="G192" s="243"/>
      <c r="H192" s="243"/>
      <c r="I192" s="254"/>
      <c r="J192" s="250"/>
      <c r="K192" s="250"/>
      <c r="L192" s="254"/>
    </row>
    <row r="193" spans="1:29">
      <c r="A193" s="251" t="s">
        <v>131</v>
      </c>
      <c r="B193" s="266" t="str">
        <f>INDEX(DEAPEntries!$B$13:$D$20,MATCH($A193,DEAPEntries!$A$13:$A$20,0),MATCH(B$188,DEAPEntries!$B$13:$D$13,0))</f>
        <v>No</v>
      </c>
      <c r="C193" s="266" t="str">
        <f>INDEX(DEAPEntries!$B$13:$D$20,MATCH($A193,DEAPEntries!$A$13:$A$20,0),MATCH(C$188,DEAPEntries!$B$13:$D$13,0))</f>
        <v>No</v>
      </c>
      <c r="D193" s="266" t="str">
        <f>INDEX(DEAPEntries!$B$13:$D$20,MATCH($A193,DEAPEntries!$A$13:$A$20,0),MATCH(D$188,DEAPEntries!$B$13:$D$13,0))</f>
        <v>No</v>
      </c>
      <c r="E193" s="267" t="str">
        <f t="shared" si="1"/>
        <v>No</v>
      </c>
      <c r="F193" s="245"/>
      <c r="G193" s="243"/>
      <c r="H193" s="243"/>
      <c r="I193" s="254"/>
      <c r="J193" s="250"/>
      <c r="K193" s="250"/>
      <c r="L193" s="250"/>
    </row>
    <row r="194" spans="1:29">
      <c r="A194" s="252" t="s">
        <v>133</v>
      </c>
      <c r="B194" s="266" t="str">
        <f>INDEX(DEAPEntries!$B$13:$D$20,MATCH($A194,DEAPEntries!$A$13:$A$20,0),MATCH(B$188,DEAPEntries!$B$13:$D$13,0))</f>
        <v>Yes</v>
      </c>
      <c r="C194" s="266" t="str">
        <f>INDEX(DEAPEntries!$B$13:$D$20,MATCH($A194,DEAPEntries!$A$13:$A$20,0),MATCH(C$188,DEAPEntries!$B$13:$D$13,0))</f>
        <v>No</v>
      </c>
      <c r="D194" s="266" t="str">
        <f>INDEX(DEAPEntries!$B$13:$D$20,MATCH($A194,DEAPEntries!$A$13:$A$20,0),MATCH(D$188,DEAPEntries!$B$13:$D$13,0))</f>
        <v>No</v>
      </c>
      <c r="E194" s="267" t="str">
        <f t="shared" si="1"/>
        <v>Yes</v>
      </c>
      <c r="F194" s="245"/>
      <c r="G194" s="243"/>
      <c r="H194" s="265" t="s">
        <v>136</v>
      </c>
      <c r="I194" s="262" t="b">
        <f>IF(OR(B194="Yes",C194="Yes",D194="Yes"),TRUE,FALSE)</f>
        <v>1</v>
      </c>
      <c r="J194" s="250"/>
      <c r="K194" s="250"/>
      <c r="L194" s="250"/>
    </row>
    <row r="195" spans="1:29">
      <c r="A195" s="246" t="s">
        <v>137</v>
      </c>
      <c r="B195" s="266">
        <f>INDEX(DEAPEntries!$B$13:$D$20,MATCH($A195,DEAPEntries!$A$13:$A$20,0),MATCH(B$188,DEAPEntries!$B$13:$D$13,0))</f>
        <v>0</v>
      </c>
      <c r="C195" s="266">
        <f>INDEX(DEAPEntries!$B$13:$D$20,MATCH($A195,DEAPEntries!$A$13:$A$20,0),MATCH(C$188,DEAPEntries!$B$13:$D$13,0))</f>
        <v>0</v>
      </c>
      <c r="D195" s="266">
        <f>INDEX(DEAPEntries!$B$13:$D$20,MATCH($A195,DEAPEntries!$A$13:$A$20,0),MATCH(D$188,DEAPEntries!$B$13:$D$13,0))</f>
        <v>0</v>
      </c>
      <c r="E195" s="267">
        <f t="shared" si="1"/>
        <v>0</v>
      </c>
      <c r="F195" s="245"/>
      <c r="G195" s="247"/>
      <c r="H195" s="247"/>
      <c r="I195" s="255"/>
      <c r="J195" s="250"/>
      <c r="K195" s="248"/>
      <c r="L195" s="250"/>
    </row>
    <row r="197" spans="1:29" s="80" customFormat="1" ht="12.75">
      <c r="A197" s="283" t="s">
        <v>429</v>
      </c>
      <c r="B197" s="284" t="s">
        <v>430</v>
      </c>
      <c r="C197" s="284" t="s">
        <v>431</v>
      </c>
      <c r="D197" s="284" t="s">
        <v>432</v>
      </c>
      <c r="E197" s="275"/>
      <c r="F197" s="275"/>
      <c r="G197" s="275"/>
      <c r="H197" s="275"/>
      <c r="I197" s="274"/>
      <c r="J197" s="82"/>
      <c r="L197" s="82"/>
      <c r="AC197" s="82"/>
    </row>
    <row r="198" spans="1:29" s="80" customFormat="1" ht="60" customHeight="1">
      <c r="A198" s="276" t="s">
        <v>433</v>
      </c>
      <c r="B198" s="276" t="str">
        <f>RIGHT(B197)</f>
        <v>1</v>
      </c>
      <c r="C198" s="276" t="str">
        <f>RIGHT(C197)</f>
        <v>2</v>
      </c>
      <c r="D198" s="276" t="str">
        <f>RIGHT(D197)</f>
        <v>3</v>
      </c>
      <c r="E198" s="276" t="s">
        <v>434</v>
      </c>
      <c r="F198" s="277" t="s">
        <v>177</v>
      </c>
      <c r="G198" s="277" t="s">
        <v>178</v>
      </c>
      <c r="H198" s="277" t="s">
        <v>435</v>
      </c>
      <c r="I198" s="82"/>
      <c r="J198" s="82"/>
      <c r="L198" s="82"/>
      <c r="AC198" s="82"/>
    </row>
    <row r="199" spans="1:29" s="80" customFormat="1">
      <c r="A199" s="282" t="str">
        <f>HeatingCalc_1!A60</f>
        <v>Space Heating Energy Requirement</v>
      </c>
      <c r="B199" s="278" t="e">
        <f>HeatingCalc_1!H60</f>
        <v>#DIV/0!</v>
      </c>
      <c r="C199" s="279" cm="1">
        <f t="array" aca="1" ref="C199" ca="1">INDIRECT($F199&amp;C$198&amp;"!"&amp;$G199)</f>
        <v>0</v>
      </c>
      <c r="D199" s="279" cm="1">
        <f t="array" aca="1" ref="D199" ca="1">INDIRECT($F199&amp;D$198&amp;"!"&amp;$G199)</f>
        <v>0</v>
      </c>
      <c r="E199" s="297" t="e">
        <f t="shared" ref="E199:E207" si="3">VLOOKUP(A199,A199:D199,$G$1+1,FALSE)</f>
        <v>#DIV/0!</v>
      </c>
      <c r="F199" s="280" t="str">
        <f ca="1">LEFT(H199,FIND("1",H199)-1)</f>
        <v>HeatingCalc_</v>
      </c>
      <c r="G199" s="280" t="str">
        <f ca="1">RIGHT(H199,LEN(H199)-FIND("!",H199))</f>
        <v>H60</v>
      </c>
      <c r="H199" s="281" t="str">
        <f ca="1">SUBSTITUTE( _xlfn.FORMULATEXT(B199),"=","")</f>
        <v>HeatingCalc_1!H60</v>
      </c>
      <c r="L199" s="82"/>
      <c r="AC199" s="82"/>
    </row>
    <row r="200" spans="1:29" s="80" customFormat="1">
      <c r="A200" s="282" t="str">
        <f>HeatingCalc_1!A69</f>
        <v>Total Delivered Energy Required (this will be gas or elec)</v>
      </c>
      <c r="B200" s="278" t="e">
        <f>HeatingCalc_1!H69</f>
        <v>#VALUE!</v>
      </c>
      <c r="C200" s="279" t="e" cm="1">
        <f t="array" aca="1" ref="C200" ca="1">INDIRECT($F200&amp;C$198&amp;"!"&amp;$G200)</f>
        <v>#VALUE!</v>
      </c>
      <c r="D200" s="279" t="e" cm="1">
        <f t="array" aca="1" ref="D200" ca="1">INDIRECT($F200&amp;D$198&amp;"!"&amp;$G200)</f>
        <v>#VALUE!</v>
      </c>
      <c r="E200" s="297" t="e">
        <f t="shared" si="3"/>
        <v>#VALUE!</v>
      </c>
      <c r="F200" s="280" t="str">
        <f ca="1">LEFT(H200,FIND("1",H200)-1)</f>
        <v>HeatingCalc_</v>
      </c>
      <c r="G200" s="280" t="str">
        <f ca="1">RIGHT(H200,LEN(H200)-FIND("!",H200))</f>
        <v>H69</v>
      </c>
      <c r="H200" s="281" t="str">
        <f ca="1">SUBSTITUTE( _xlfn.FORMULATEXT(B200),"=","")</f>
        <v>HeatingCalc_1!H69</v>
      </c>
      <c r="L200" s="82"/>
      <c r="AC200" s="82"/>
    </row>
    <row r="201" spans="1:29" s="80" customFormat="1">
      <c r="A201" s="282" t="str">
        <f>HeatingCalc_1!A71</f>
        <v>SPF - Heat Pump &amp; Back up Heater</v>
      </c>
      <c r="B201" s="278" t="e">
        <f>HeatingCalc_1!H71</f>
        <v>#DIV/0!</v>
      </c>
      <c r="C201" s="279" t="e" cm="1">
        <f t="array" aca="1" ref="C201" ca="1">INDIRECT($F201&amp;C$198&amp;"!"&amp;$G201)</f>
        <v>#VALUE!</v>
      </c>
      <c r="D201" s="279" t="e" cm="1">
        <f t="array" aca="1" ref="D201" ca="1">INDIRECT($F201&amp;D$198&amp;"!"&amp;$G201)</f>
        <v>#VALUE!</v>
      </c>
      <c r="E201" s="297" t="e">
        <f t="shared" si="3"/>
        <v>#DIV/0!</v>
      </c>
      <c r="F201" s="280" t="str">
        <f t="shared" ref="F201:F204" ca="1" si="4">LEFT(H201,FIND("1",H201)-1)</f>
        <v>HeatingCalc_</v>
      </c>
      <c r="G201" s="280" t="str">
        <f t="shared" ref="G201:G204" ca="1" si="5">RIGHT(H201,LEN(H201)-FIND("!",H201))</f>
        <v>H71</v>
      </c>
      <c r="H201" s="281" t="str">
        <f t="shared" ref="H201:H204" ca="1" si="6">SUBSTITUTE( _xlfn.FORMULATEXT(B201),"=","")</f>
        <v>HeatingCalc_1!H71</v>
      </c>
      <c r="L201" s="82"/>
      <c r="AC201" s="82"/>
    </row>
    <row r="202" spans="1:29" s="80" customFormat="1">
      <c r="A202" s="282" t="str">
        <f>HeatingCalc_1!A73</f>
        <v>Renewable Contribution calculated in DEAP</v>
      </c>
      <c r="B202" s="278" t="e">
        <f>HeatingCalc_1!H73</f>
        <v>#DIV/0!</v>
      </c>
      <c r="C202" s="279" t="e" cm="1">
        <f t="array" aca="1" ref="C202" ca="1">INDIRECT($F202&amp;C$198&amp;"!"&amp;$G202)</f>
        <v>#VALUE!</v>
      </c>
      <c r="D202" s="279" t="e" cm="1">
        <f t="array" aca="1" ref="D202" ca="1">INDIRECT($F202&amp;D$198&amp;"!"&amp;$G202)</f>
        <v>#VALUE!</v>
      </c>
      <c r="E202" s="297" t="e">
        <f t="shared" si="3"/>
        <v>#DIV/0!</v>
      </c>
      <c r="F202" s="280" t="str">
        <f t="shared" ca="1" si="4"/>
        <v>HeatingCalc_</v>
      </c>
      <c r="G202" s="280" t="str">
        <f t="shared" ca="1" si="5"/>
        <v>H73</v>
      </c>
      <c r="H202" s="281" t="str">
        <f t="shared" ca="1" si="6"/>
        <v>HeatingCalc_1!H73</v>
      </c>
      <c r="L202" s="82"/>
      <c r="AC202" s="82"/>
    </row>
    <row r="203" spans="1:29" s="80" customFormat="1">
      <c r="A203" s="282" t="str">
        <f>HeatingCalc_1!A75</f>
        <v>Space Heating Provided by Heat Pump</v>
      </c>
      <c r="B203" s="278" t="e">
        <f>HeatingCalc_1!H75</f>
        <v>#DIV/0!</v>
      </c>
      <c r="C203" s="279" t="e" cm="1">
        <f t="array" aca="1" ref="C203" ca="1">INDIRECT($F203&amp;C$198&amp;"!"&amp;$G203)</f>
        <v>#VALUE!</v>
      </c>
      <c r="D203" s="279" t="e" cm="1">
        <f t="array" aca="1" ref="D203" ca="1">INDIRECT($F203&amp;D$198&amp;"!"&amp;$G203)</f>
        <v>#VALUE!</v>
      </c>
      <c r="E203" s="297" t="e">
        <f t="shared" si="3"/>
        <v>#DIV/0!</v>
      </c>
      <c r="F203" s="280" t="str">
        <f t="shared" ca="1" si="4"/>
        <v>HeatingCalc_</v>
      </c>
      <c r="G203" s="280" t="str">
        <f t="shared" ca="1" si="5"/>
        <v>H75</v>
      </c>
      <c r="H203" s="281" t="str">
        <f t="shared" ca="1" si="6"/>
        <v>HeatingCalc_1!H75</v>
      </c>
      <c r="I203" s="81"/>
      <c r="L203" s="82"/>
      <c r="AC203" s="82"/>
    </row>
    <row r="204" spans="1:29" s="80" customFormat="1">
      <c r="A204" s="282" t="str">
        <f>HeatingCalc_1!A77</f>
        <v>SPF - Heat Pump only</v>
      </c>
      <c r="B204" s="278" t="e">
        <f>HeatingCalc_1!H77</f>
        <v>#DIV/0!</v>
      </c>
      <c r="C204" s="279" t="e" cm="1">
        <f t="array" aca="1" ref="C204" ca="1">INDIRECT($F204&amp;C$198&amp;"!"&amp;$G204)</f>
        <v>#VALUE!</v>
      </c>
      <c r="D204" s="279" t="e" cm="1">
        <f t="array" aca="1" ref="D204" ca="1">INDIRECT($F204&amp;D$198&amp;"!"&amp;$G204)</f>
        <v>#VALUE!</v>
      </c>
      <c r="E204" s="297" t="e">
        <f t="shared" si="3"/>
        <v>#DIV/0!</v>
      </c>
      <c r="F204" s="280" t="str">
        <f t="shared" ca="1" si="4"/>
        <v>HeatingCalc_</v>
      </c>
      <c r="G204" s="280" t="str">
        <f t="shared" ca="1" si="5"/>
        <v>H77</v>
      </c>
      <c r="H204" s="281" t="str">
        <f t="shared" ca="1" si="6"/>
        <v>HeatingCalc_1!H77</v>
      </c>
      <c r="L204" s="82"/>
      <c r="AC204" s="82"/>
    </row>
    <row r="205" spans="1:29">
      <c r="A205" s="282" t="str">
        <f>HeatingCalc_1!A79</f>
        <v>Renewable Contribution provided by Heat Pump</v>
      </c>
      <c r="B205" s="278" t="e">
        <f>HeatingCalc_1!H79</f>
        <v>#DIV/0!</v>
      </c>
      <c r="C205" s="279" t="e" cm="1">
        <f t="array" aca="1" ref="C205" ca="1">INDIRECT($F205&amp;C$198&amp;"!"&amp;$G205)</f>
        <v>#VALUE!</v>
      </c>
      <c r="D205" s="279" t="e" cm="1">
        <f t="array" aca="1" ref="D205" ca="1">INDIRECT($F205&amp;D$198&amp;"!"&amp;$G205)</f>
        <v>#VALUE!</v>
      </c>
      <c r="E205" s="297" t="e">
        <f t="shared" si="3"/>
        <v>#DIV/0!</v>
      </c>
      <c r="F205" s="280" t="str">
        <f t="shared" ref="F205:F207" ca="1" si="7">LEFT(H205,FIND("1",H205)-1)</f>
        <v>HeatingCalc_</v>
      </c>
      <c r="G205" s="280" t="str">
        <f t="shared" ref="G205:G207" ca="1" si="8">RIGHT(H205,LEN(H205)-FIND("!",H205))</f>
        <v>H79</v>
      </c>
      <c r="H205" s="281" t="str">
        <f t="shared" ref="H205:H207" ca="1" si="9">SUBSTITUTE( _xlfn.FORMULATEXT(B205),"=","")</f>
        <v>HeatingCalc_1!H79</v>
      </c>
    </row>
    <row r="206" spans="1:29">
      <c r="A206" s="282" t="str">
        <f>HeatingCalc_1!A82</f>
        <v>Renewable Contribution from Exhaust Air Heat Pump</v>
      </c>
      <c r="B206" s="278" t="e">
        <f>HeatingCalc_1!H82</f>
        <v>#DIV/0!</v>
      </c>
      <c r="C206" s="279" t="e" cm="1">
        <f t="array" aca="1" ref="C206" ca="1">INDIRECT($F206&amp;C$198&amp;"!"&amp;$G206)</f>
        <v>#VALUE!</v>
      </c>
      <c r="D206" s="279" t="e" cm="1">
        <f t="array" aca="1" ref="D206" ca="1">INDIRECT($F206&amp;D$198&amp;"!"&amp;$G206)</f>
        <v>#VALUE!</v>
      </c>
      <c r="E206" s="297" t="e">
        <f t="shared" si="3"/>
        <v>#DIV/0!</v>
      </c>
      <c r="F206" s="280" t="str">
        <f t="shared" ca="1" si="7"/>
        <v>HeatingCalc_</v>
      </c>
      <c r="G206" s="280" t="str">
        <f t="shared" ca="1" si="8"/>
        <v>H82</v>
      </c>
      <c r="H206" s="281" t="str">
        <f t="shared" ca="1" si="9"/>
        <v>HeatingCalc_1!H82</v>
      </c>
    </row>
    <row r="207" spans="1:29">
      <c r="A207" s="282" t="str">
        <f>HeatingCalc_1!I85</f>
        <v>% renewables</v>
      </c>
      <c r="B207" s="285">
        <f>HeatingCalc_1!H85</f>
        <v>1</v>
      </c>
      <c r="C207" s="279" cm="1">
        <f t="array" aca="1" ref="C207" ca="1">INDIRECT($F207&amp;C$198&amp;"!"&amp;$G207)</f>
        <v>1</v>
      </c>
      <c r="D207" s="279" cm="1">
        <f t="array" aca="1" ref="D207" ca="1">INDIRECT($F207&amp;D$198&amp;"!"&amp;$G207)</f>
        <v>1</v>
      </c>
      <c r="E207" s="298">
        <f t="shared" si="3"/>
        <v>1</v>
      </c>
      <c r="F207" s="280" t="str">
        <f t="shared" ca="1" si="7"/>
        <v>HeatingCalc_</v>
      </c>
      <c r="G207" s="280" t="str">
        <f t="shared" ca="1" si="8"/>
        <v>H85</v>
      </c>
      <c r="H207" s="281" t="str">
        <f t="shared" ca="1" si="9"/>
        <v>HeatingCalc_1!H85</v>
      </c>
    </row>
    <row r="208" spans="1:29" customFormat="1" ht="12.75">
      <c r="A208" s="276" t="s">
        <v>436</v>
      </c>
    </row>
    <row r="209" spans="1:8">
      <c r="A209" s="282" t="str">
        <f>DHWCalc_1!A12</f>
        <v>Efficiency for DEAP</v>
      </c>
      <c r="B209" s="285">
        <f>DHWCalc_1!B12</f>
        <v>0</v>
      </c>
      <c r="C209" s="279" cm="1">
        <f t="array" aca="1" ref="C209" ca="1">INDIRECT($F209&amp;C$198&amp;"!"&amp;$G209)</f>
        <v>0</v>
      </c>
      <c r="D209" s="279" cm="1">
        <f t="array" aca="1" ref="D209" ca="1">INDIRECT($F209&amp;D$198&amp;"!"&amp;$G209)</f>
        <v>0</v>
      </c>
      <c r="E209" s="298">
        <f>VLOOKUP(A209,A209:D209,$G$1+1,FALSE)</f>
        <v>0</v>
      </c>
      <c r="F209" s="280" t="str">
        <f t="shared" ref="F209" ca="1" si="10">LEFT(H209,FIND("1",H209)-1)</f>
        <v>DHWCalc_</v>
      </c>
      <c r="G209" s="280" t="str">
        <f t="shared" ref="G209" ca="1" si="11">RIGHT(H209,LEN(H209)-FIND("!",H209))</f>
        <v>B12</v>
      </c>
      <c r="H209" s="281" t="str">
        <f t="shared" ref="H209" ca="1" si="12">SUBSTITUTE( _xlfn.FORMULATEXT(B209),"=","")</f>
        <v>DHWCalc_1!B12</v>
      </c>
    </row>
    <row r="210" spans="1:8" ht="31.5">
      <c r="A210" s="282" t="str">
        <f>DHWCalc_1!A17</f>
        <v>Fraction of Demand met by backup energy to meet temperature shortfall</v>
      </c>
      <c r="B210" s="286" t="e">
        <f>DHWCalc_1!B17</f>
        <v>#VALUE!</v>
      </c>
      <c r="C210" s="279" cm="1">
        <f t="array" aca="1" ref="C210" ca="1">INDIRECT($F210&amp;C$198&amp;"!"&amp;$G210)</f>
        <v>1.1818181818181819</v>
      </c>
      <c r="D210" s="279" cm="1">
        <f t="array" aca="1" ref="D210" ca="1">INDIRECT($F210&amp;D$198&amp;"!"&amp;$G210)</f>
        <v>1.1818181818181819</v>
      </c>
      <c r="E210" s="344" t="e">
        <f>VLOOKUP(A210,A210:D210,$G$1+1,FALSE)</f>
        <v>#VALUE!</v>
      </c>
      <c r="F210" s="280" t="str">
        <f t="shared" ref="F210:F215" ca="1" si="13">LEFT(H210,FIND("1",H210)-1)</f>
        <v>DHWCalc_</v>
      </c>
      <c r="G210" s="280" t="str">
        <f t="shared" ref="G210:G215" ca="1" si="14">RIGHT(H210,LEN(H210)-FIND("!",H210))</f>
        <v>B17</v>
      </c>
      <c r="H210" s="281" t="str">
        <f t="shared" ref="H210:H215" ca="1" si="15">SUBSTITUTE( _xlfn.FORMULATEXT(B210),"=","")</f>
        <v>DHWCalc_1!B17</v>
      </c>
    </row>
    <row r="211" spans="1:8">
      <c r="A211" s="282" t="str">
        <f>DHWCalc_1!A19</f>
        <v>DHW Demand for Dwelling</v>
      </c>
      <c r="B211" s="346" t="e">
        <f>DHWCalc_1!B19</f>
        <v>#DIV/0!</v>
      </c>
      <c r="C211" s="279" cm="1">
        <f t="array" aca="1" ref="C211" ca="1">INDIRECT($F211&amp;C$198&amp;"!"&amp;$G211)</f>
        <v>0</v>
      </c>
      <c r="D211" s="279" cm="1">
        <f t="array" aca="1" ref="D211" ca="1">INDIRECT($F211&amp;D$198&amp;"!"&amp;$G211)</f>
        <v>0</v>
      </c>
      <c r="E211" s="349" t="e">
        <f t="shared" ref="E211:E212" si="16">VLOOKUP(A211,A211:D211,$G$1+1,FALSE)</f>
        <v>#DIV/0!</v>
      </c>
      <c r="F211" s="280" t="str">
        <f t="shared" ref="F211:F212" ca="1" si="17">LEFT(H211,FIND("1",H211)-1)</f>
        <v>DHWCalc_</v>
      </c>
      <c r="G211" s="280" t="str">
        <f t="shared" ref="G211:G212" ca="1" si="18">RIGHT(H211,LEN(H211)-FIND("!",H211))</f>
        <v>B19</v>
      </c>
      <c r="H211" s="281" t="str">
        <f t="shared" ref="H211:H212" ca="1" si="19">SUBSTITUTE( _xlfn.FORMULATEXT(B211),"=","")</f>
        <v>DHWCalc_1!B19</v>
      </c>
    </row>
    <row r="212" spans="1:8">
      <c r="A212" s="282" t="str">
        <f>DHWCalc_1!A28</f>
        <v>Total Fuel Required for Water Heating</v>
      </c>
      <c r="B212" s="346" t="e">
        <f>DHWCalc_1!B28</f>
        <v>#DIV/0!</v>
      </c>
      <c r="C212" s="279" t="e" cm="1">
        <f t="array" aca="1" ref="C212" ca="1">INDIRECT($F212&amp;C$198&amp;"!"&amp;$G212)</f>
        <v>#DIV/0!</v>
      </c>
      <c r="D212" s="279" t="e" cm="1">
        <f t="array" aca="1" ref="D212" ca="1">INDIRECT($F212&amp;D$198&amp;"!"&amp;$G212)</f>
        <v>#DIV/0!</v>
      </c>
      <c r="E212" s="349" t="e">
        <f t="shared" si="16"/>
        <v>#DIV/0!</v>
      </c>
      <c r="F212" s="280" t="str">
        <f t="shared" ca="1" si="17"/>
        <v>DHWCalc_</v>
      </c>
      <c r="G212" s="280" t="str">
        <f t="shared" ca="1" si="18"/>
        <v>B28</v>
      </c>
      <c r="H212" s="281" t="str">
        <f t="shared" ca="1" si="19"/>
        <v>DHWCalc_1!B28</v>
      </c>
    </row>
    <row r="213" spans="1:8">
      <c r="A213" s="282" t="str">
        <f>DHWCalc_1!A30</f>
        <v>SPF</v>
      </c>
      <c r="B213" s="285" t="e">
        <f>DHWCalc_1!B30</f>
        <v>#DIV/0!</v>
      </c>
      <c r="C213" s="279" t="e" cm="1">
        <f t="array" aca="1" ref="C213" ca="1">INDIRECT($F213&amp;C$198&amp;"!"&amp;$G213)</f>
        <v>#DIV/0!</v>
      </c>
      <c r="D213" s="279" t="e" cm="1">
        <f t="array" aca="1" ref="D213" ca="1">INDIRECT($F213&amp;D$198&amp;"!"&amp;$G213)</f>
        <v>#DIV/0!</v>
      </c>
      <c r="E213" s="298" t="e">
        <f t="shared" ref="E213" si="20">VLOOKUP(A213,A213:D213,$G$1+1,FALSE)</f>
        <v>#DIV/0!</v>
      </c>
      <c r="F213" s="280" t="str">
        <f t="shared" ref="F213" ca="1" si="21">LEFT(H213,FIND("1",H213)-1)</f>
        <v>DHWCalc_</v>
      </c>
      <c r="G213" s="280" t="str">
        <f t="shared" ref="G213" ca="1" si="22">RIGHT(H213,LEN(H213)-FIND("!",H213))</f>
        <v>B30</v>
      </c>
      <c r="H213" s="281" t="str">
        <f t="shared" ref="H213" ca="1" si="23">SUBSTITUTE( _xlfn.FORMULATEXT(B213),"=","")</f>
        <v>DHWCalc_1!B30</v>
      </c>
    </row>
    <row r="214" spans="1:8">
      <c r="A214" s="282" t="str">
        <f>DHWCalc_1!A32</f>
        <v>Renewable Contribution calculated in DEAP</v>
      </c>
      <c r="B214" s="347" t="e">
        <f>DHWCalc_1!B32</f>
        <v>#DIV/0!</v>
      </c>
      <c r="C214" s="279" t="e" cm="1">
        <f t="array" aca="1" ref="C214" ca="1">INDIRECT($F214&amp;C$198&amp;"!"&amp;$G214)</f>
        <v>#DIV/0!</v>
      </c>
      <c r="D214" s="279" t="e" cm="1">
        <f t="array" aca="1" ref="D214" ca="1">INDIRECT($F214&amp;D$198&amp;"!"&amp;$G214)</f>
        <v>#DIV/0!</v>
      </c>
      <c r="E214" s="348" t="e">
        <f t="shared" ref="E214" si="24">VLOOKUP(A214,A214:D214,$G$1+1,FALSE)</f>
        <v>#DIV/0!</v>
      </c>
      <c r="F214" s="280" t="str">
        <f t="shared" ref="F214" ca="1" si="25">LEFT(H214,FIND("1",H214)-1)</f>
        <v>DHWCalc_</v>
      </c>
      <c r="G214" s="280" t="str">
        <f t="shared" ref="G214" ca="1" si="26">RIGHT(H214,LEN(H214)-FIND("!",H214))</f>
        <v>B32</v>
      </c>
      <c r="H214" s="281" t="str">
        <f t="shared" ref="H214" ca="1" si="27">SUBSTITUTE( _xlfn.FORMULATEXT(B214),"=","")</f>
        <v>DHWCalc_1!B32</v>
      </c>
    </row>
    <row r="215" spans="1:8">
      <c r="A215" s="282" t="str">
        <f>DHWCalc_1!A34</f>
        <v>Hot Water Provided by Heat Pump</v>
      </c>
      <c r="B215" s="347" t="e">
        <f>DHWCalc_1!B34</f>
        <v>#DIV/0!</v>
      </c>
      <c r="C215" s="279" t="e" cm="1">
        <f t="array" aca="1" ref="C215" ca="1">INDIRECT($F215&amp;C$198&amp;"!"&amp;$G215)</f>
        <v>#DIV/0!</v>
      </c>
      <c r="D215" s="279" t="e" cm="1">
        <f t="array" aca="1" ref="D215" ca="1">INDIRECT($F215&amp;D$198&amp;"!"&amp;$G215)</f>
        <v>#DIV/0!</v>
      </c>
      <c r="E215" s="348" t="e">
        <f t="shared" ref="E215" si="28">VLOOKUP(A215,A215:D215,$G$1+1,FALSE)</f>
        <v>#DIV/0!</v>
      </c>
      <c r="F215" s="280" t="str">
        <f t="shared" ca="1" si="13"/>
        <v>DHWCalc_</v>
      </c>
      <c r="G215" s="280" t="str">
        <f t="shared" ca="1" si="14"/>
        <v>B34</v>
      </c>
      <c r="H215" s="281" t="str">
        <f t="shared" ca="1" si="15"/>
        <v>DHWCalc_1!B34</v>
      </c>
    </row>
    <row r="216" spans="1:8">
      <c r="A216" s="282" t="str">
        <f>DHWCalc_1!A36</f>
        <v>% Renewable</v>
      </c>
      <c r="B216" s="345">
        <f>DHWCalc_1!B36</f>
        <v>1</v>
      </c>
      <c r="C216" s="279" cm="1">
        <f t="array" aca="1" ref="C216" ca="1">INDIRECT($F216&amp;C$198&amp;"!"&amp;$G216)</f>
        <v>1</v>
      </c>
      <c r="D216" s="279" cm="1">
        <f t="array" aca="1" ref="D216" ca="1">INDIRECT($F216&amp;D$198&amp;"!"&amp;$G216)</f>
        <v>1</v>
      </c>
      <c r="E216" s="298">
        <f t="shared" ref="E216:E222" si="29">VLOOKUP(A216,A216:D216,$G$1+1,FALSE)</f>
        <v>1</v>
      </c>
      <c r="F216" s="280" t="str">
        <f t="shared" ref="F216:F222" ca="1" si="30">LEFT(H216,FIND("1",H216)-1)</f>
        <v>DHWCalc_</v>
      </c>
      <c r="G216" s="280" t="str">
        <f t="shared" ref="G216:G222" ca="1" si="31">RIGHT(H216,LEN(H216)-FIND("!",H216))</f>
        <v>B36</v>
      </c>
      <c r="H216" s="281" t="str">
        <f t="shared" ref="H216:H222" ca="1" si="32">SUBSTITUTE( _xlfn.FORMULATEXT(B216),"=","")</f>
        <v>DHWCalc_1!B36</v>
      </c>
    </row>
    <row r="217" spans="1:8">
      <c r="A217" s="282" t="str">
        <f>DHWCalc_1!A57</f>
        <v>SPF</v>
      </c>
      <c r="B217" s="345" t="e">
        <f>DHWCalc_1!B57</f>
        <v>#DIV/0!</v>
      </c>
      <c r="C217" s="279" t="e" cm="1">
        <f t="array" aca="1" ref="C217" ca="1">INDIRECT($F217&amp;C$198&amp;"!"&amp;$G217)</f>
        <v>#DIV/0!</v>
      </c>
      <c r="D217" s="279" t="e" cm="1">
        <f t="array" aca="1" ref="D217" ca="1">INDIRECT($F217&amp;D$198&amp;"!"&amp;$G217)</f>
        <v>#DIV/0!</v>
      </c>
      <c r="E217" s="298" t="e">
        <f t="shared" ref="E217" si="33">VLOOKUP(A217,A217:D217,$G$1+1,FALSE)</f>
        <v>#DIV/0!</v>
      </c>
      <c r="F217" s="280" t="str">
        <f t="shared" ref="F217" ca="1" si="34">LEFT(H217,FIND("1",H217)-1)</f>
        <v>DHWCalc_</v>
      </c>
      <c r="G217" s="280" t="str">
        <f t="shared" ref="G217" ca="1" si="35">RIGHT(H217,LEN(H217)-FIND("!",H217))</f>
        <v>B57</v>
      </c>
      <c r="H217" s="281" t="str">
        <f t="shared" ref="H217" ca="1" si="36">SUBSTITUTE( _xlfn.FORMULATEXT(B217),"=","")</f>
        <v>DHWCalc_1!B57</v>
      </c>
    </row>
    <row r="218" spans="1:8">
      <c r="A218" s="282" t="str">
        <f>DHWCalc_1!A75</f>
        <v>SPF</v>
      </c>
      <c r="B218" s="345">
        <f>DHWCalc_1!B75</f>
        <v>3.33</v>
      </c>
      <c r="C218" s="279" cm="1">
        <f t="array" aca="1" ref="C218" ca="1">INDIRECT($F218&amp;C$198&amp;"!"&amp;$G218)</f>
        <v>3.33</v>
      </c>
      <c r="D218" s="279" cm="1">
        <f t="array" aca="1" ref="D218" ca="1">INDIRECT($F218&amp;D$198&amp;"!"&amp;$G218)</f>
        <v>3.33</v>
      </c>
      <c r="E218" s="298">
        <f t="shared" ref="E218" si="37">VLOOKUP(A218,A218:D218,$G$1+1,FALSE)</f>
        <v>3.33</v>
      </c>
      <c r="F218" s="280" t="str">
        <f t="shared" ref="F218" ca="1" si="38">LEFT(H218,FIND("1",H218)-1)</f>
        <v>DHWCalc_</v>
      </c>
      <c r="G218" s="280" t="str">
        <f t="shared" ref="G218" ca="1" si="39">RIGHT(H218,LEN(H218)-FIND("!",H218))</f>
        <v>B75</v>
      </c>
      <c r="H218" s="281" t="str">
        <f t="shared" ref="H218" ca="1" si="40">SUBSTITUTE( _xlfn.FORMULATEXT(B218),"=","")</f>
        <v>DHWCalc_1!B75</v>
      </c>
    </row>
    <row r="219" spans="1:8">
      <c r="A219" s="282" t="str">
        <f>DHWCalc_1!U2</f>
        <v>Error - Test</v>
      </c>
      <c r="B219" s="347">
        <f>DHWCalc_1!U14</f>
        <v>0</v>
      </c>
      <c r="C219" s="279" cm="1">
        <f t="array" aca="1" ref="C219" ca="1">INDIRECT($F219&amp;C$198&amp;"!"&amp;$G219)</f>
        <v>0</v>
      </c>
      <c r="D219" s="279" cm="1">
        <f t="array" aca="1" ref="D219" ca="1">INDIRECT($F219&amp;D$198&amp;"!"&amp;$G219)</f>
        <v>0</v>
      </c>
      <c r="E219" s="348">
        <f t="shared" si="29"/>
        <v>0</v>
      </c>
      <c r="F219" s="280" t="str">
        <f t="shared" ca="1" si="30"/>
        <v>DHWCalc_</v>
      </c>
      <c r="G219" s="280" t="str">
        <f t="shared" ca="1" si="31"/>
        <v>U14</v>
      </c>
      <c r="H219" s="281" t="str">
        <f t="shared" ca="1" si="32"/>
        <v>DHWCalc_1!U14</v>
      </c>
    </row>
    <row r="220" spans="1:8">
      <c r="A220" s="282" t="str">
        <f>DHWCalc_1!V2</f>
        <v>Error - Dwelling</v>
      </c>
      <c r="B220" s="347">
        <f>DHWCalc_1!V14</f>
        <v>0</v>
      </c>
      <c r="C220" s="279" cm="1">
        <f t="array" aca="1" ref="C220" ca="1">INDIRECT($F220&amp;C$198&amp;"!"&amp;$G220)</f>
        <v>1</v>
      </c>
      <c r="D220" s="279" cm="1">
        <f t="array" aca="1" ref="D220" ca="1">INDIRECT($F220&amp;D$198&amp;"!"&amp;$G220)</f>
        <v>1</v>
      </c>
      <c r="E220" s="348">
        <f t="shared" si="29"/>
        <v>0</v>
      </c>
      <c r="F220" s="280" t="str">
        <f t="shared" ca="1" si="30"/>
        <v>DHWCalc_</v>
      </c>
      <c r="G220" s="280" t="str">
        <f t="shared" ca="1" si="31"/>
        <v>V14</v>
      </c>
      <c r="H220" s="281" t="str">
        <f t="shared" ca="1" si="32"/>
        <v>DHWCalc_1!V14</v>
      </c>
    </row>
    <row r="221" spans="1:8" ht="110.1" customHeight="1">
      <c r="A221" s="282" t="s">
        <v>437</v>
      </c>
      <c r="B221" s="350" t="str">
        <f>DHWCalc_1!U16</f>
        <v>WARNING: As the test storage Volume does not meet requirements in Ecodesign Directive, the assessor must contact the manufacturer to advise that test volume is not appropriate for the declared load profile and request revised test results.</v>
      </c>
      <c r="C221" s="279" t="str" cm="1">
        <f t="array" aca="1" ref="C221" ca="1">INDIRECT($F221&amp;C$198&amp;"!"&amp;$G221)</f>
        <v>WARNING: As the test storage Volume does not meet requirements in Ecodesign Directive, the assessor must contact the manufacturer to advise that test volume is not appropriate for the declared load profile and request revised test results.</v>
      </c>
      <c r="D221" s="279" t="str" cm="1">
        <f t="array" aca="1" ref="D221" ca="1">INDIRECT($F221&amp;D$198&amp;"!"&amp;$G221)</f>
        <v>WARNING: As the test storage Volume does not meet requirements in Ecodesign Directive, the assessor must contact the manufacturer to advise that test volume is not appropriate for the declared load profile and request revised test results.</v>
      </c>
      <c r="E221" s="351" t="str">
        <f t="shared" si="29"/>
        <v>WARNING: As the test storage Volume does not meet requirements in Ecodesign Directive, the assessor must contact the manufacturer to advise that test volume is not appropriate for the declared load profile and request revised test results.</v>
      </c>
      <c r="F221" s="280" t="str">
        <f t="shared" ca="1" si="30"/>
        <v>DHWCalc_</v>
      </c>
      <c r="G221" s="280" t="str">
        <f t="shared" ca="1" si="31"/>
        <v>U16</v>
      </c>
      <c r="H221" s="281" t="str">
        <f t="shared" ca="1" si="32"/>
        <v>DHWCalc_1!U16</v>
      </c>
    </row>
    <row r="222" spans="1:8" ht="154.35" customHeight="1">
      <c r="A222" s="282" t="s">
        <v>438</v>
      </c>
      <c r="B222" s="350" t="str">
        <f>DHWCalc_1!V16</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C222" s="279" t="str" cm="1">
        <f t="array" aca="1" ref="C222" ca="1">INDIRECT($F222&amp;C$198&amp;"!"&amp;$G222)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D222" s="279" t="str" cm="1">
        <f t="array" aca="1" ref="D222" ca="1">INDIRECT($F222&amp;D$198&amp;"!"&amp;$G222)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E222" s="351" t="str">
        <f t="shared" si="29"/>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F222" s="280" t="str">
        <f t="shared" ca="1" si="30"/>
        <v>DHWCalc_</v>
      </c>
      <c r="G222" s="280" t="str">
        <f t="shared" ca="1" si="31"/>
        <v>V16</v>
      </c>
      <c r="H222" s="281" t="str">
        <f t="shared" ca="1" si="32"/>
        <v>DHWCalc_1!V16</v>
      </c>
    </row>
    <row r="223" spans="1:8">
      <c r="A223" s="276" t="s">
        <v>439</v>
      </c>
    </row>
    <row r="224" spans="1:8" ht="30">
      <c r="A224" s="282" t="s">
        <v>440</v>
      </c>
      <c r="B224" s="286" t="str">
        <f>SpaceStandardsID_1!A31</f>
        <v>Valid space heat pump type selected.</v>
      </c>
      <c r="C224" s="279" t="str" cm="1">
        <f t="array" aca="1" ref="C224" ca="1">INDIRECT($F224&amp;C$198&amp;"!"&amp;$G224)</f>
        <v>Valid space heat pump type selected.</v>
      </c>
      <c r="D224" s="279" t="str" cm="1">
        <f t="array" aca="1" ref="D224" ca="1">INDIRECT($F224&amp;D$198&amp;"!"&amp;$G224)</f>
        <v>Valid space heat pump type selected.</v>
      </c>
      <c r="E224" s="352" t="str">
        <f>VLOOKUP(A224,A224:D224,$G$1+1,FALSE)</f>
        <v>Valid space heat pump type selected.</v>
      </c>
      <c r="F224" s="332" t="str">
        <f t="shared" ref="F224" ca="1" si="41">LEFT(H224,FIND("1",H224)-1)</f>
        <v>SpaceStandardsID_</v>
      </c>
      <c r="G224" s="280" t="str">
        <f t="shared" ref="G224" ca="1" si="42">RIGHT(H224,LEN(H224)-FIND("!",H224))</f>
        <v>A31</v>
      </c>
      <c r="H224" s="281" t="str">
        <f t="shared" ref="H224" ca="1" si="43">SUBSTITUTE( _xlfn.FORMULATEXT(B224),"=","")</f>
        <v>SpaceStandardsID_1!A31</v>
      </c>
    </row>
    <row r="225" spans="1:8" ht="28.5">
      <c r="A225" s="282" t="s">
        <v>441</v>
      </c>
      <c r="B225" s="286" t="str">
        <f>SpaceStandardsID_1!B31</f>
        <v>Air to Water</v>
      </c>
      <c r="C225" s="279" t="str" cm="1">
        <f t="array" aca="1" ref="C225" ca="1">INDIRECT($F225&amp;C$198&amp;"!"&amp;$G225)</f>
        <v>Air to Water</v>
      </c>
      <c r="D225" s="279" t="str" cm="1">
        <f t="array" aca="1" ref="D225" ca="1">INDIRECT($F225&amp;D$198&amp;"!"&amp;$G225)</f>
        <v>Air to Water</v>
      </c>
      <c r="E225" s="352" t="str">
        <f t="shared" ref="E225:E228" si="44">VLOOKUP(A225,A225:D225,$G$1+1,FALSE)</f>
        <v>Air to Water</v>
      </c>
      <c r="F225" s="332" t="str">
        <f t="shared" ref="F225:F228" ca="1" si="45">LEFT(H225,FIND("1",H225)-1)</f>
        <v>SpaceStandardsID_</v>
      </c>
      <c r="G225" s="280" t="str">
        <f t="shared" ref="G225:G228" ca="1" si="46">RIGHT(H225,LEN(H225)-FIND("!",H225))</f>
        <v>B31</v>
      </c>
      <c r="H225" s="281" t="str">
        <f t="shared" ref="H225:H228" ca="1" si="47">SUBSTITUTE( _xlfn.FORMULATEXT(B225),"=","")</f>
        <v>SpaceStandardsID_1!B31</v>
      </c>
    </row>
    <row r="226" spans="1:8" ht="28.5">
      <c r="A226" s="282" t="s">
        <v>442</v>
      </c>
      <c r="B226" s="286" t="str">
        <f>SpaceStandardsID_1!C31</f>
        <v>Electricity</v>
      </c>
      <c r="C226" s="279" t="str" cm="1">
        <f t="array" aca="1" ref="C226" ca="1">INDIRECT($F226&amp;C$198&amp;"!"&amp;$G226)</f>
        <v>Electricity</v>
      </c>
      <c r="D226" s="279" t="str" cm="1">
        <f t="array" aca="1" ref="D226" ca="1">INDIRECT($F226&amp;D$198&amp;"!"&amp;$G226)</f>
        <v>Electricity</v>
      </c>
      <c r="E226" s="352" t="str">
        <f t="shared" si="44"/>
        <v>Electricity</v>
      </c>
      <c r="F226" s="332" t="str">
        <f t="shared" ca="1" si="45"/>
        <v>SpaceStandardsID_</v>
      </c>
      <c r="G226" s="280" t="str">
        <f t="shared" ca="1" si="46"/>
        <v>C31</v>
      </c>
      <c r="H226" s="281" t="str">
        <f t="shared" ca="1" si="47"/>
        <v>SpaceStandardsID_1!C31</v>
      </c>
    </row>
    <row r="227" spans="1:8" ht="30">
      <c r="A227" s="282" t="s">
        <v>443</v>
      </c>
      <c r="B227" s="286" t="str">
        <f>SpaceStandardsID_1!D31</f>
        <v>Not low temperature heat pump</v>
      </c>
      <c r="C227" s="279" t="str" cm="1">
        <f t="array" aca="1" ref="C227" ca="1">INDIRECT($F227&amp;C$198&amp;"!"&amp;$G227)</f>
        <v>Not low temperature heat pump</v>
      </c>
      <c r="D227" s="279" t="str" cm="1">
        <f t="array" aca="1" ref="D227" ca="1">INDIRECT($F227&amp;D$198&amp;"!"&amp;$G227)</f>
        <v>Not low temperature heat pump</v>
      </c>
      <c r="E227" s="352" t="str">
        <f t="shared" si="44"/>
        <v>Not low temperature heat pump</v>
      </c>
      <c r="F227" s="332" t="str">
        <f t="shared" ca="1" si="45"/>
        <v>SpaceStandardsID_</v>
      </c>
      <c r="G227" s="280" t="str">
        <f t="shared" ca="1" si="46"/>
        <v>D31</v>
      </c>
      <c r="H227" s="281" t="str">
        <f t="shared" ca="1" si="47"/>
        <v>SpaceStandardsID_1!D31</v>
      </c>
    </row>
    <row r="228" spans="1:8" ht="45">
      <c r="A228" s="282" t="s">
        <v>444</v>
      </c>
      <c r="B228" s="286" t="str">
        <f>SpaceStandardsID_1!E31</f>
        <v>Ecodesign applies and/or ecodesign data available</v>
      </c>
      <c r="C228" s="279" t="str" cm="1">
        <f t="array" aca="1" ref="C228" ca="1">INDIRECT($F228&amp;C$198&amp;"!"&amp;$G228)</f>
        <v>Ecodesign applies and/or ecodesign data available</v>
      </c>
      <c r="D228" s="279" t="str" cm="1">
        <f t="array" aca="1" ref="D228" ca="1">INDIRECT($F228&amp;D$198&amp;"!"&amp;$G228)</f>
        <v>Ecodesign applies and/or ecodesign data available</v>
      </c>
      <c r="E228" s="352" t="str">
        <f t="shared" si="44"/>
        <v>Ecodesign applies and/or ecodesign data available</v>
      </c>
      <c r="F228" s="332" t="str">
        <f t="shared" ca="1" si="45"/>
        <v>SpaceStandardsID_</v>
      </c>
      <c r="G228" s="280" t="str">
        <f t="shared" ca="1" si="46"/>
        <v>E31</v>
      </c>
      <c r="H228" s="281" t="str">
        <f t="shared" ca="1" si="47"/>
        <v>SpaceStandardsID_1!E31</v>
      </c>
    </row>
    <row r="229" spans="1:8" ht="84.6" customHeight="1">
      <c r="A229" s="282" t="s">
        <v>445</v>
      </c>
      <c r="B229" s="286" t="str">
        <f>SpaceStandardsID_1!K31</f>
        <v xml:space="preserve">I.S. EN 14825
</v>
      </c>
      <c r="C229" s="279" t="str" cm="1">
        <f t="array" aca="1" ref="C229" ca="1">INDIRECT($F229&amp;C$198&amp;"!"&amp;$G229)</f>
        <v xml:space="preserve">I.S. EN 14825
</v>
      </c>
      <c r="D229" s="279" t="str" cm="1">
        <f t="array" aca="1" ref="D229" ca="1">INDIRECT($F229&amp;D$198&amp;"!"&amp;$G229)</f>
        <v xml:space="preserve">I.S. EN 14825
</v>
      </c>
      <c r="E229" s="352" t="str">
        <f t="shared" ref="E229" si="48">VLOOKUP(A229,A229:D229,$G$1+1,FALSE)</f>
        <v xml:space="preserve">I.S. EN 14825
</v>
      </c>
      <c r="F229" s="332" t="str">
        <f t="shared" ref="F229" ca="1" si="49">LEFT(H229,FIND("1",H229)-1)</f>
        <v>SpaceStandardsID_</v>
      </c>
      <c r="G229" s="280" t="str">
        <f t="shared" ref="G229" ca="1" si="50">RIGHT(H229,LEN(H229)-FIND("!",H229))</f>
        <v>K31</v>
      </c>
      <c r="H229" s="281" t="str">
        <f t="shared" ref="H229" ca="1" si="51">SUBSTITUTE( _xlfn.FORMULATEXT(B229),"=","")</f>
        <v>SpaceStandardsID_1!K31</v>
      </c>
    </row>
    <row r="230" spans="1:8">
      <c r="A230" s="276" t="s">
        <v>446</v>
      </c>
    </row>
    <row r="231" spans="1:8" ht="30">
      <c r="A231" s="282" t="s">
        <v>440</v>
      </c>
      <c r="B231" s="286" t="str">
        <f>WaterStandardsID_1!A17</f>
        <v>Valid water heat pump type selected.</v>
      </c>
      <c r="C231" s="279" t="str" cm="1">
        <f t="array" aca="1" ref="C231" ca="1">INDIRECT($F231&amp;C$198&amp;"!"&amp;$G231)</f>
        <v>Valid water heat pump type selected.</v>
      </c>
      <c r="D231" s="279" t="str" cm="1">
        <f t="array" aca="1" ref="D231" ca="1">INDIRECT($F231&amp;D$198&amp;"!"&amp;$G231)</f>
        <v>Valid water heat pump type selected.</v>
      </c>
      <c r="E231" s="352" t="str">
        <f>VLOOKUP(A231,A231:D231,$G$1+1,FALSE)</f>
        <v>Valid water heat pump type selected.</v>
      </c>
      <c r="F231" s="332" t="str">
        <f t="shared" ref="F231:F235" ca="1" si="52">LEFT(H231,FIND("1",H231)-1)</f>
        <v>WaterStandardsID_</v>
      </c>
      <c r="G231" s="280" t="str">
        <f t="shared" ref="G231:G235" ca="1" si="53">RIGHT(H231,LEN(H231)-FIND("!",H231))</f>
        <v>A17</v>
      </c>
      <c r="H231" s="281" t="str">
        <f t="shared" ref="H231:H235" ca="1" si="54">SUBSTITUTE( _xlfn.FORMULATEXT(B231),"=","")</f>
        <v>WaterStandardsID_1!A17</v>
      </c>
    </row>
    <row r="232" spans="1:8" ht="28.5">
      <c r="A232" s="282" t="s">
        <v>441</v>
      </c>
      <c r="B232" s="286" t="str">
        <f>WaterStandardsID_1!B16</f>
        <v>Air to Water</v>
      </c>
      <c r="C232" s="279" t="str" cm="1">
        <f t="array" aca="1" ref="C232" ca="1">INDIRECT($F232&amp;C$198&amp;"!"&amp;$G232)</f>
        <v>Air to Water</v>
      </c>
      <c r="D232" s="279" t="str" cm="1">
        <f t="array" aca="1" ref="D232" ca="1">INDIRECT($F232&amp;D$198&amp;"!"&amp;$G232)</f>
        <v>Air to Water</v>
      </c>
      <c r="E232" s="352" t="str">
        <f t="shared" ref="E232:E235" si="55">VLOOKUP(A232,A232:D232,$G$1+1,FALSE)</f>
        <v>Air to Water</v>
      </c>
      <c r="F232" s="332" t="str">
        <f t="shared" ca="1" si="52"/>
        <v>WaterStandardsID_</v>
      </c>
      <c r="G232" s="280" t="str">
        <f t="shared" ca="1" si="53"/>
        <v>B16</v>
      </c>
      <c r="H232" s="281" t="str">
        <f t="shared" ca="1" si="54"/>
        <v>WaterStandardsID_1!B16</v>
      </c>
    </row>
    <row r="233" spans="1:8" ht="28.5">
      <c r="A233" s="282" t="s">
        <v>442</v>
      </c>
      <c r="B233" s="286" t="str">
        <f>WaterStandardsID_1!C16</f>
        <v>Electricity</v>
      </c>
      <c r="C233" s="279" t="str" cm="1">
        <f t="array" aca="1" ref="C233" ca="1">INDIRECT($F233&amp;C$198&amp;"!"&amp;$G233)</f>
        <v>Electricity</v>
      </c>
      <c r="D233" s="279" t="str" cm="1">
        <f t="array" aca="1" ref="D233" ca="1">INDIRECT($F233&amp;D$198&amp;"!"&amp;$G233)</f>
        <v>Electricity</v>
      </c>
      <c r="E233" s="352" t="str">
        <f t="shared" si="55"/>
        <v>Electricity</v>
      </c>
      <c r="F233" s="332" t="str">
        <f t="shared" ca="1" si="52"/>
        <v>WaterStandardsID_</v>
      </c>
      <c r="G233" s="280" t="str">
        <f t="shared" ca="1" si="53"/>
        <v>C16</v>
      </c>
      <c r="H233" s="281" t="str">
        <f t="shared" ca="1" si="54"/>
        <v>WaterStandardsID_1!C16</v>
      </c>
    </row>
    <row r="234" spans="1:8" ht="45">
      <c r="A234" s="282" t="s">
        <v>444</v>
      </c>
      <c r="B234" s="353" t="str">
        <f>WaterStandardsID_1!D16</f>
        <v>Ecodesign applies and/or ecodesign data available</v>
      </c>
      <c r="C234" s="279" t="str" cm="1">
        <f t="array" aca="1" ref="C234" ca="1">INDIRECT($F234&amp;C$198&amp;"!"&amp;$G234)</f>
        <v>Ecodesign applies and/or ecodesign data available</v>
      </c>
      <c r="D234" s="279" t="str" cm="1">
        <f t="array" aca="1" ref="D234" ca="1">INDIRECT($F234&amp;D$198&amp;"!"&amp;$G234)</f>
        <v>Ecodesign applies and/or ecodesign data available</v>
      </c>
      <c r="E234" s="352" t="str">
        <f t="shared" si="55"/>
        <v>Ecodesign applies and/or ecodesign data available</v>
      </c>
      <c r="F234" s="332" t="str">
        <f t="shared" ca="1" si="52"/>
        <v>WaterStandardsID_</v>
      </c>
      <c r="G234" s="280" t="str">
        <f t="shared" ca="1" si="53"/>
        <v>D16</v>
      </c>
      <c r="H234" s="281" t="str">
        <f t="shared" ca="1" si="54"/>
        <v>WaterStandardsID_1!D16</v>
      </c>
    </row>
    <row r="235" spans="1:8" ht="90.6" customHeight="1">
      <c r="A235" s="282" t="s">
        <v>445</v>
      </c>
      <c r="B235" s="286" t="str">
        <f>WaterStandardsID_1!J16</f>
        <v>I.S. EN 16147
I.S. EN 14825/14511</v>
      </c>
      <c r="C235" s="279" t="str" cm="1">
        <f t="array" aca="1" ref="C235" ca="1">INDIRECT($F235&amp;C$198&amp;"!"&amp;$G235)</f>
        <v>I.S. EN 16147
I.S. EN 14825/14511</v>
      </c>
      <c r="D235" s="279" t="str" cm="1">
        <f t="array" aca="1" ref="D235" ca="1">INDIRECT($F235&amp;D$198&amp;"!"&amp;$G235)</f>
        <v>I.S. EN 16147
I.S. EN 14825/14511</v>
      </c>
      <c r="E235" s="352" t="str">
        <f t="shared" si="55"/>
        <v>I.S. EN 16147
I.S. EN 14825/14511</v>
      </c>
      <c r="F235" s="332" t="str">
        <f t="shared" ca="1" si="52"/>
        <v>WaterStandardsID_</v>
      </c>
      <c r="G235" s="280" t="str">
        <f t="shared" ca="1" si="53"/>
        <v>J16</v>
      </c>
      <c r="H235" s="281" t="str">
        <f t="shared" ca="1" si="54"/>
        <v>WaterStandardsID_1!J16</v>
      </c>
    </row>
  </sheetData>
  <sheetProtection algorithmName="SHA-512" hashValue="0PW7EFN6FO4CbWP/LI6kquNQl6UpDFwR0YY9vA1+g0xvhuHhbLYsPf6fnCAD0FuyfsCEWH42BWCe5JF/cqVcyg==" saltValue="6TL/g19BP7FZkZB6SpUo7w==" spinCount="100000" sheet="1" objects="1" scenarios="1"/>
  <mergeCells count="72">
    <mergeCell ref="A46:A47"/>
    <mergeCell ref="C9:I9"/>
    <mergeCell ref="D94:F94"/>
    <mergeCell ref="D95:F95"/>
    <mergeCell ref="D80:G80"/>
    <mergeCell ref="D90:G90"/>
    <mergeCell ref="D63:F63"/>
    <mergeCell ref="D65:F65"/>
    <mergeCell ref="D66:F66"/>
    <mergeCell ref="D67:F67"/>
    <mergeCell ref="D74:F74"/>
    <mergeCell ref="D75:F75"/>
    <mergeCell ref="D31:F31"/>
    <mergeCell ref="D32:F32"/>
    <mergeCell ref="D64:F64"/>
    <mergeCell ref="A50:A51"/>
    <mergeCell ref="A54:A55"/>
    <mergeCell ref="A58:A59"/>
    <mergeCell ref="D10:F10"/>
    <mergeCell ref="D11:F11"/>
    <mergeCell ref="D12:F12"/>
    <mergeCell ref="D13:F13"/>
    <mergeCell ref="D14:F14"/>
    <mergeCell ref="D16:F16"/>
    <mergeCell ref="D33:F33"/>
    <mergeCell ref="D26:F26"/>
    <mergeCell ref="D27:F27"/>
    <mergeCell ref="D29:F29"/>
    <mergeCell ref="D17:F17"/>
    <mergeCell ref="D42:F42"/>
    <mergeCell ref="D38:F41"/>
    <mergeCell ref="A38:A41"/>
    <mergeCell ref="D2:G2"/>
    <mergeCell ref="D86:F86"/>
    <mergeCell ref="D77:F77"/>
    <mergeCell ref="D69:F69"/>
    <mergeCell ref="D70:F70"/>
    <mergeCell ref="D71:F71"/>
    <mergeCell ref="D72:F72"/>
    <mergeCell ref="D73:F73"/>
    <mergeCell ref="D68:F68"/>
    <mergeCell ref="D81:F81"/>
    <mergeCell ref="D82:F82"/>
    <mergeCell ref="D84:F84"/>
    <mergeCell ref="D85:F85"/>
    <mergeCell ref="G38:G41"/>
    <mergeCell ref="D15:F15"/>
    <mergeCell ref="D3:G3"/>
    <mergeCell ref="C62:I62"/>
    <mergeCell ref="D35:F35"/>
    <mergeCell ref="D4:G4"/>
    <mergeCell ref="D5:G5"/>
    <mergeCell ref="D6:G6"/>
    <mergeCell ref="D7:G7"/>
    <mergeCell ref="D8:G8"/>
    <mergeCell ref="D18:F18"/>
    <mergeCell ref="D19:F19"/>
    <mergeCell ref="D22:F22"/>
    <mergeCell ref="D24:F24"/>
    <mergeCell ref="D25:F25"/>
    <mergeCell ref="D87:F87"/>
    <mergeCell ref="D88:F88"/>
    <mergeCell ref="D89:F89"/>
    <mergeCell ref="D100:F100"/>
    <mergeCell ref="D101:F101"/>
    <mergeCell ref="D96:F96"/>
    <mergeCell ref="D93:F93"/>
    <mergeCell ref="D102:F102"/>
    <mergeCell ref="D106:F106"/>
    <mergeCell ref="D107:F107"/>
    <mergeCell ref="D108:F108"/>
    <mergeCell ref="D109:F109"/>
  </mergeCells>
  <conditionalFormatting sqref="A38:A41 D38:G41 C42 B42:B43 A45:A47 A49:A55 A57:A59">
    <cfRule type="expression" dxfId="137" priority="77">
      <formula>OR($G$25=$T$3,$B$27=$P$2)</formula>
    </cfRule>
  </conditionalFormatting>
  <conditionalFormatting sqref="A56">
    <cfRule type="expression" dxfId="136" priority="63">
      <formula>$N$10=FALSE</formula>
    </cfRule>
  </conditionalFormatting>
  <conditionalFormatting sqref="A66">
    <cfRule type="expression" dxfId="135" priority="52">
      <formula>$N$11=FALSE</formula>
    </cfRule>
  </conditionalFormatting>
  <conditionalFormatting sqref="A8:G8">
    <cfRule type="expression" dxfId="134" priority="79">
      <formula>$B$5="No"</formula>
    </cfRule>
  </conditionalFormatting>
  <conditionalFormatting sqref="A37:G38 A39:I61 C9 A10:I36">
    <cfRule type="expression" dxfId="133" priority="91">
      <formula>$N$10=FALSE</formula>
    </cfRule>
  </conditionalFormatting>
  <conditionalFormatting sqref="A38:G59">
    <cfRule type="expression" dxfId="132" priority="109">
      <formula>OR($B$14="I.S. EN 14511")</formula>
    </cfRule>
  </conditionalFormatting>
  <conditionalFormatting sqref="B8">
    <cfRule type="expression" dxfId="131" priority="81" stopIfTrue="1">
      <formula>OR($B$14="I.S. EN 14511")</formula>
    </cfRule>
  </conditionalFormatting>
  <conditionalFormatting sqref="B13">
    <cfRule type="expression" dxfId="130" priority="117" stopIfTrue="1">
      <formula>$B$14="I.S. EN 14511"</formula>
    </cfRule>
  </conditionalFormatting>
  <conditionalFormatting sqref="B14">
    <cfRule type="expression" dxfId="129" priority="118" stopIfTrue="1">
      <formula>#REF!="Domestic Hot Water"</formula>
    </cfRule>
  </conditionalFormatting>
  <conditionalFormatting sqref="B15:B16 B32:F36">
    <cfRule type="expression" dxfId="128" priority="119">
      <formula>OR($B$14="I.S. EN 14511")</formula>
    </cfRule>
  </conditionalFormatting>
  <conditionalFormatting sqref="B16">
    <cfRule type="expression" dxfId="127" priority="43">
      <formula>($B$24="Yesnextversion")</formula>
    </cfRule>
  </conditionalFormatting>
  <conditionalFormatting sqref="B17">
    <cfRule type="expression" dxfId="126" priority="95" stopIfTrue="1">
      <formula>OR($B$14="I.S. EN 14511",#REF!="Domestic Hot Water")</formula>
    </cfRule>
  </conditionalFormatting>
  <conditionalFormatting sqref="B19">
    <cfRule type="expression" dxfId="125" priority="123" stopIfTrue="1">
      <formula>#REF!="Domestic Hot Water"</formula>
    </cfRule>
  </conditionalFormatting>
  <conditionalFormatting sqref="B29">
    <cfRule type="expression" dxfId="124" priority="126" stopIfTrue="1">
      <formula>AND($B$14="I.S. EN 14511",$B$68="I.S. EN 14511")</formula>
    </cfRule>
  </conditionalFormatting>
  <conditionalFormatting sqref="B33:B36">
    <cfRule type="expression" dxfId="123" priority="107">
      <formula>$B$32="No"</formula>
    </cfRule>
  </conditionalFormatting>
  <conditionalFormatting sqref="B63:B64">
    <cfRule type="expression" dxfId="122" priority="51">
      <formula>$N$10=FALSE</formula>
    </cfRule>
  </conditionalFormatting>
  <conditionalFormatting sqref="B66">
    <cfRule type="expression" dxfId="121" priority="96" stopIfTrue="1">
      <formula>$B$14="I.S. EN 14511"</formula>
    </cfRule>
  </conditionalFormatting>
  <conditionalFormatting sqref="B68">
    <cfRule type="expression" dxfId="120" priority="99" stopIfTrue="1">
      <formula>#REF!="Space heating"</formula>
    </cfRule>
  </conditionalFormatting>
  <conditionalFormatting sqref="B69">
    <cfRule type="expression" dxfId="119" priority="94" stopIfTrue="1">
      <formula>OR($B$14="I.S. EN 14511",#REF!="Domestic Hot Water")</formula>
    </cfRule>
  </conditionalFormatting>
  <conditionalFormatting sqref="B73">
    <cfRule type="expression" dxfId="118" priority="124" stopIfTrue="1">
      <formula>OR(#REF!="Space Heating",#REF!="I.S. EN 14511",#REF!="I.S. EN 255-3",$B$70="No Hot Water Store")</formula>
    </cfRule>
    <cfRule type="expression" dxfId="117" priority="125" stopIfTrue="1">
      <formula>OR(#REF!="I.S. EN 14511",#REF!="I.S. EN 255-3",#REF!="Space heating",$B$70="No Hot Water Store")</formula>
    </cfRule>
  </conditionalFormatting>
  <conditionalFormatting sqref="B74 B70">
    <cfRule type="expression" dxfId="116" priority="120" stopIfTrue="1">
      <formula>OR(#REF!="Space Heating")</formula>
    </cfRule>
  </conditionalFormatting>
  <conditionalFormatting sqref="B74">
    <cfRule type="expression" dxfId="115" priority="102">
      <formula>#REF!="I.S. EN 14511"</formula>
    </cfRule>
  </conditionalFormatting>
  <conditionalFormatting sqref="B75:B78">
    <cfRule type="expression" dxfId="114" priority="108" stopIfTrue="1">
      <formula>$B$74="No"</formula>
    </cfRule>
  </conditionalFormatting>
  <conditionalFormatting sqref="B81">
    <cfRule type="expression" dxfId="113" priority="100">
      <formula>OR($B$68="I.S. EN 255-3",$B$68="I.S. EN 14511")</formula>
    </cfRule>
  </conditionalFormatting>
  <conditionalFormatting sqref="B82:B89">
    <cfRule type="expression" dxfId="112" priority="101" stopIfTrue="1">
      <formula>OR($B$68="I.S. EN 255-3",$B$68="I.S. EN 14511")</formula>
    </cfRule>
  </conditionalFormatting>
  <conditionalFormatting sqref="B92:B96">
    <cfRule type="expression" dxfId="111" priority="113" stopIfTrue="1">
      <formula>AND($B$14&lt;&gt;"I.S. EN 14511",$B$68&lt;&gt;"I.S. EN 14511")</formula>
    </cfRule>
  </conditionalFormatting>
  <conditionalFormatting sqref="B100:B102">
    <cfRule type="expression" dxfId="110" priority="114" stopIfTrue="1">
      <formula>$B$68&lt;&gt;"I.S. EN 255-3"</formula>
    </cfRule>
  </conditionalFormatting>
  <conditionalFormatting sqref="C38">
    <cfRule type="expression" dxfId="109" priority="78">
      <formula>OR($B$14="I.S. EN 14511")</formula>
    </cfRule>
  </conditionalFormatting>
  <conditionalFormatting sqref="C62 A63:I68 A69:H69 A70:I90 A99:I102">
    <cfRule type="expression" dxfId="108" priority="90">
      <formula>$N$11=FALSE</formula>
    </cfRule>
  </conditionalFormatting>
  <conditionalFormatting sqref="C44:G47">
    <cfRule type="expression" dxfId="107" priority="8">
      <formula>$C$39="No"</formula>
    </cfRule>
  </conditionalFormatting>
  <conditionalFormatting sqref="C48:G51">
    <cfRule type="expression" dxfId="106" priority="104">
      <formula>$C$40="No"</formula>
    </cfRule>
  </conditionalFormatting>
  <conditionalFormatting sqref="C52:G55">
    <cfRule type="expression" dxfId="105" priority="12">
      <formula>$C$38="No"</formula>
    </cfRule>
  </conditionalFormatting>
  <conditionalFormatting sqref="C56:G59">
    <cfRule type="expression" dxfId="104" priority="93">
      <formula>$C$41="No"</formula>
    </cfRule>
  </conditionalFormatting>
  <conditionalFormatting sqref="C9:I9">
    <cfRule type="containsText" dxfId="103" priority="46" operator="containsText" text="Error">
      <formula>NOT(ISERROR(SEARCH("Error",C9)))</formula>
    </cfRule>
  </conditionalFormatting>
  <conditionalFormatting sqref="C62:I62">
    <cfRule type="containsText" dxfId="102" priority="45" operator="containsText" text="ERROR">
      <formula>NOT(ISERROR(SEARCH("ERROR",C62)))</formula>
    </cfRule>
  </conditionalFormatting>
  <conditionalFormatting sqref="D90 D91:F97">
    <cfRule type="expression" dxfId="101" priority="103">
      <formula>OR(#REF!="Space heating",#REF!="I.S. EN 14511",#REF!="I.S. EN 255-3")</formula>
    </cfRule>
  </conditionalFormatting>
  <conditionalFormatting sqref="D14:F14">
    <cfRule type="containsText" dxfId="100" priority="24" operator="containsText" text="ERROR">
      <formula>NOT(ISERROR(SEARCH("ERROR",D14)))</formula>
    </cfRule>
  </conditionalFormatting>
  <conditionalFormatting sqref="D68:F68">
    <cfRule type="containsText" dxfId="99" priority="23" operator="containsText" text="ERROR">
      <formula>NOT(ISERROR(SEARCH("ERROR",D68)))</formula>
    </cfRule>
  </conditionalFormatting>
  <conditionalFormatting sqref="H37:I38">
    <cfRule type="expression" dxfId="98" priority="29">
      <formula>$N$10=FALSE</formula>
    </cfRule>
    <cfRule type="expression" dxfId="97" priority="30">
      <formula>OR($B$14="I.S. EN 14511")</formula>
    </cfRule>
  </conditionalFormatting>
  <conditionalFormatting sqref="I68">
    <cfRule type="expression" dxfId="96" priority="22" stopIfTrue="1">
      <formula>OR($B$14="I.S. EN 14511",#REF!="Domestic Hot Water")</formula>
    </cfRule>
  </conditionalFormatting>
  <conditionalFormatting sqref="J37:J41">
    <cfRule type="expression" dxfId="95" priority="25">
      <formula>$N$10=FALSE</formula>
    </cfRule>
    <cfRule type="expression" dxfId="94" priority="26">
      <formula>OR($B$14="I.S. EN 14511")</formula>
    </cfRule>
  </conditionalFormatting>
  <conditionalFormatting sqref="J67:J68">
    <cfRule type="expression" dxfId="93" priority="19">
      <formula>$N$11=FALSE</formula>
    </cfRule>
  </conditionalFormatting>
  <conditionalFormatting sqref="J68">
    <cfRule type="expression" dxfId="92" priority="20" stopIfTrue="1">
      <formula>OR($B$14="I.S. EN 14511",#REF!="Domestic Hot Water")</formula>
    </cfRule>
  </conditionalFormatting>
  <dataValidations count="18">
    <dataValidation type="list" allowBlank="1" showInputMessage="1" showErrorMessage="1" sqref="B81" xr:uid="{00000000-0002-0000-1200-000000000000}">
      <formula1>$AR$1:$AR$2</formula1>
    </dataValidation>
    <dataValidation type="list" allowBlank="1" showInputMessage="1" showErrorMessage="1" sqref="B87" xr:uid="{00000000-0002-0000-1200-000001000000}">
      <formula1>$AL$1:$AL$11</formula1>
    </dataValidation>
    <dataValidation type="list" allowBlank="1" showInputMessage="1" showErrorMessage="1" sqref="B29" xr:uid="{00000000-0002-0000-1200-000002000000}">
      <formula1>$AP$1:$AP$3</formula1>
    </dataValidation>
    <dataValidation type="list" allowBlank="1" showInputMessage="1" showErrorMessage="1" sqref="B70" xr:uid="{00000000-0002-0000-1200-000005000000}">
      <formula1>$AG$1:$AG$4</formula1>
    </dataValidation>
    <dataValidation type="list" allowBlank="1" showInputMessage="1" showErrorMessage="1" sqref="B33 B75" xr:uid="{00000000-0002-0000-1200-000006000000}">
      <formula1>$W$2:$W$12</formula1>
    </dataValidation>
    <dataValidation type="list" allowBlank="1" showInputMessage="1" showErrorMessage="1" sqref="B13 B66" xr:uid="{00000000-0002-0000-1200-000007000000}">
      <formula1>$Z$1:$Z$2</formula1>
    </dataValidation>
    <dataValidation type="list" allowBlank="1" showInputMessage="1" showErrorMessage="1" sqref="B67" xr:uid="{00000000-0002-0000-1200-000009000000}">
      <formula1>$P$2:$P$3</formula1>
    </dataValidation>
    <dataValidation type="decimal" allowBlank="1" showInputMessage="1" showErrorMessage="1" errorTitle="Design Flow Temperature" error="The design flow temperature must be between 20oC and 65oC" sqref="B25" xr:uid="{00000000-0002-0000-1200-00000A000000}">
      <formula1>20</formula1>
      <formula2>65</formula2>
    </dataValidation>
    <dataValidation allowBlank="1" showInputMessage="1" showErrorMessage="1" errorTitle="Design Flow Temperature" error="The design flow temperature must be between 35oC and 55oC" sqref="B20" xr:uid="{00000000-0002-0000-1200-00000B000000}"/>
    <dataValidation type="list" allowBlank="1" showInputMessage="1" showErrorMessage="1" sqref="B94:B96 B32 B92 C38:C41 B74 B21:B23" xr:uid="{00000000-0002-0000-1200-00000C000000}">
      <formula1>$AB$1:$AB$2</formula1>
    </dataValidation>
    <dataValidation type="list" allowBlank="1" showInputMessage="1" showErrorMessage="1" sqref="G12" xr:uid="{1079BFE9-1D3C-4653-99D7-AB6C9E6E5E46}">
      <formula1>$T$2:$T$3</formula1>
    </dataValidation>
    <dataValidation type="list" allowBlank="1" showInputMessage="1" showErrorMessage="1" sqref="G11 G63" xr:uid="{00457EBA-2A39-4227-BE01-70A5A9DF2A3A}">
      <formula1>$Q$2:$Q$3</formula1>
    </dataValidation>
    <dataValidation type="list" allowBlank="1" showInputMessage="1" showErrorMessage="1" sqref="G10" xr:uid="{DB389249-DC91-4BA0-ACFB-4F4E4B731A14}">
      <formula1>$R$1:$R$2</formula1>
    </dataValidation>
    <dataValidation type="list" allowBlank="1" showInputMessage="1" showErrorMessage="1" sqref="B65" xr:uid="{DA8DF2D7-E373-43ED-85C7-38B3FCD605A6}">
      <formula1>$S$1:$S$5</formula1>
    </dataValidation>
    <dataValidation type="list" allowBlank="1" showInputMessage="1" showErrorMessage="1" sqref="B12" xr:uid="{D63A4045-F937-4243-B7A3-F97677486ADA}">
      <formula1>$S$1:$S$9</formula1>
    </dataValidation>
    <dataValidation type="list" allowBlank="1" showInputMessage="1" showErrorMessage="1" sqref="B68" xr:uid="{00000000-0002-0000-1200-000004000000}">
      <formula1>$N$4:$N$8</formula1>
    </dataValidation>
    <dataValidation type="list" allowBlank="1" showInputMessage="1" showErrorMessage="1" sqref="B14" xr:uid="{00000000-0002-0000-1200-000008000000}">
      <formula1>$N$1:$N$4</formula1>
    </dataValidation>
    <dataValidation type="list" allowBlank="1" showInputMessage="1" showErrorMessage="1" sqref="G64" xr:uid="{1204AC42-51C6-4C3E-98D8-3CD493574700}">
      <formula1>$T$2:$T$2</formula1>
    </dataValidation>
  </dataValidations>
  <pageMargins left="0.75" right="0.75" top="1" bottom="1" header="0.5" footer="0.5"/>
  <pageSetup orientation="portrait" r:id="rId1"/>
  <headerFooter alignWithMargins="0"/>
  <ignoredErrors>
    <ignoredError sqref="G128" evalError="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3707-AF24-40D6-B733-4EA38AB8B7D5}">
  <dimension ref="A1:FA235"/>
  <sheetViews>
    <sheetView topLeftCell="A113" zoomScale="70" zoomScaleNormal="70" workbookViewId="0">
      <selection activeCell="G128" sqref="G128"/>
    </sheetView>
  </sheetViews>
  <sheetFormatPr defaultColWidth="9.140625" defaultRowHeight="15.75"/>
  <cols>
    <col min="1" max="1" width="68.42578125" style="26" customWidth="1"/>
    <col min="2" max="2" width="46" style="26" customWidth="1"/>
    <col min="3" max="3" width="23.42578125" style="26" customWidth="1"/>
    <col min="4" max="4" width="18.5703125" style="27" customWidth="1"/>
    <col min="5" max="5" width="20.85546875" style="27" customWidth="1"/>
    <col min="6" max="6" width="15.5703125" style="27" customWidth="1"/>
    <col min="7" max="7" width="51.5703125" style="26" customWidth="1"/>
    <col min="8" max="8" width="27.42578125" style="27" customWidth="1"/>
    <col min="9" max="9" width="25.5703125" style="29" customWidth="1"/>
    <col min="10" max="10" width="27.85546875" style="26" customWidth="1"/>
    <col min="11" max="13" width="25.5703125" style="29" customWidth="1"/>
    <col min="14" max="14" width="29.140625" style="26" bestFit="1" customWidth="1"/>
    <col min="15" max="15" width="9.140625" style="26"/>
    <col min="16" max="16" width="42.42578125" style="26" bestFit="1" customWidth="1"/>
    <col min="17" max="17" width="20.42578125" style="26" bestFit="1" customWidth="1"/>
    <col min="18" max="18" width="38.42578125" style="26" customWidth="1"/>
    <col min="19" max="19" width="24.42578125" style="26" bestFit="1" customWidth="1"/>
    <col min="20" max="20" width="33" style="26" bestFit="1" customWidth="1"/>
    <col min="21" max="21" width="40.5703125" style="26" bestFit="1" customWidth="1"/>
    <col min="22" max="22" width="9.140625" style="26"/>
    <col min="23" max="23" width="35.5703125" style="26" customWidth="1"/>
    <col min="24" max="25" width="9.140625" style="26"/>
    <col min="26" max="26" width="17.140625" style="26" bestFit="1" customWidth="1"/>
    <col min="27" max="29" width="9.140625" style="26"/>
    <col min="30" max="30" width="26.5703125" style="26" bestFit="1" customWidth="1"/>
    <col min="31" max="31" width="16.85546875" style="26" customWidth="1"/>
    <col min="32" max="32" width="9.140625" style="26"/>
    <col min="33" max="33" width="44.5703125" style="26" bestFit="1" customWidth="1"/>
    <col min="34" max="38" width="9.140625" style="26"/>
    <col min="39" max="39" width="9.5703125" style="26" bestFit="1" customWidth="1"/>
    <col min="40" max="40" width="9.85546875" style="26" customWidth="1"/>
    <col min="41" max="41" width="9.140625" style="26"/>
    <col min="42" max="42" width="3.5703125" style="26" bestFit="1" customWidth="1"/>
    <col min="43" max="43" width="9.140625" style="26"/>
    <col min="44" max="44" width="41.42578125" style="26" bestFit="1" customWidth="1"/>
    <col min="45" max="16384" width="9.140625" style="26"/>
  </cols>
  <sheetData>
    <row r="1" spans="1:157" ht="24.75" customHeight="1" thickBot="1">
      <c r="A1" s="4" t="s">
        <v>199</v>
      </c>
      <c r="B1" s="4"/>
      <c r="C1" s="4"/>
      <c r="D1" s="104"/>
      <c r="E1" s="104"/>
      <c r="F1" s="258" t="s">
        <v>200</v>
      </c>
      <c r="G1" s="259">
        <v>2</v>
      </c>
      <c r="H1" s="104"/>
      <c r="I1" s="104"/>
      <c r="J1" s="37"/>
      <c r="K1" s="36"/>
      <c r="L1" s="37"/>
      <c r="M1" s="36"/>
      <c r="N1" s="130" t="s">
        <v>201</v>
      </c>
      <c r="O1" s="136" t="s">
        <v>134</v>
      </c>
      <c r="P1" s="138" t="s">
        <v>202</v>
      </c>
      <c r="Q1" s="136" t="s">
        <v>203</v>
      </c>
      <c r="R1" s="137" t="s">
        <v>204</v>
      </c>
      <c r="S1" s="136" t="s">
        <v>205</v>
      </c>
      <c r="T1" s="141" t="s">
        <v>206</v>
      </c>
      <c r="U1" s="144" t="s">
        <v>207</v>
      </c>
      <c r="V1" s="32"/>
      <c r="W1" s="147" t="s">
        <v>208</v>
      </c>
      <c r="X1" s="148"/>
      <c r="Y1" s="32"/>
      <c r="Z1" s="136" t="s">
        <v>209</v>
      </c>
      <c r="AA1" s="32"/>
      <c r="AB1" s="136" t="s">
        <v>134</v>
      </c>
      <c r="AC1" s="32"/>
      <c r="AD1" s="129" t="s">
        <v>210</v>
      </c>
      <c r="AE1" s="129" t="s">
        <v>211</v>
      </c>
      <c r="AF1" s="32"/>
      <c r="AG1" s="136" t="s">
        <v>212</v>
      </c>
      <c r="AH1" s="32"/>
      <c r="AI1" s="32"/>
      <c r="AJ1" s="32"/>
      <c r="AK1" s="32"/>
      <c r="AL1" s="154" t="s">
        <v>213</v>
      </c>
      <c r="AM1" s="157" t="s">
        <v>214</v>
      </c>
      <c r="AN1" s="148">
        <f>IF(OR(B14=N1,B14=N2),IF(D24="",0,1),0)</f>
        <v>0</v>
      </c>
      <c r="AO1" s="32"/>
      <c r="AP1" s="136">
        <v>8</v>
      </c>
      <c r="AQ1" s="32"/>
      <c r="AR1" s="136" t="s">
        <v>215</v>
      </c>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row>
    <row r="2" spans="1:157" ht="36.6" customHeight="1" thickBot="1">
      <c r="A2" s="109" t="s">
        <v>84</v>
      </c>
      <c r="B2" s="109" t="s">
        <v>85</v>
      </c>
      <c r="C2" s="109" t="s">
        <v>86</v>
      </c>
      <c r="D2" s="690" t="s">
        <v>87</v>
      </c>
      <c r="E2" s="690"/>
      <c r="F2" s="690"/>
      <c r="G2" s="690"/>
      <c r="H2" s="34"/>
      <c r="I2" s="110"/>
      <c r="J2" s="33"/>
      <c r="K2" s="30"/>
      <c r="L2" s="30"/>
      <c r="M2" s="30"/>
      <c r="N2" s="131" t="s">
        <v>216</v>
      </c>
      <c r="O2" s="135" t="s">
        <v>107</v>
      </c>
      <c r="P2" s="139" t="s">
        <v>217</v>
      </c>
      <c r="Q2" s="134" t="s">
        <v>218</v>
      </c>
      <c r="R2" s="167" t="s">
        <v>219</v>
      </c>
      <c r="S2" s="134" t="s">
        <v>220</v>
      </c>
      <c r="T2" s="142" t="s">
        <v>221</v>
      </c>
      <c r="U2" s="145" t="s">
        <v>222</v>
      </c>
      <c r="V2" s="32"/>
      <c r="W2" s="149" t="s">
        <v>218</v>
      </c>
      <c r="X2" s="268">
        <f>DEAPEntries!B11</f>
        <v>1.75</v>
      </c>
      <c r="Y2" s="32"/>
      <c r="Z2" s="135" t="s">
        <v>223</v>
      </c>
      <c r="AA2" s="32"/>
      <c r="AB2" s="135" t="s">
        <v>107</v>
      </c>
      <c r="AC2" s="32"/>
      <c r="AD2" s="134" t="s">
        <v>224</v>
      </c>
      <c r="AE2" s="168" t="str">
        <f>SUBSTITUTE(AD2," Temperature","")</f>
        <v>Low</v>
      </c>
      <c r="AF2" s="32"/>
      <c r="AG2" s="134" t="s">
        <v>225</v>
      </c>
      <c r="AH2" s="32"/>
      <c r="AI2" s="32"/>
      <c r="AJ2" s="32"/>
      <c r="AK2" s="32"/>
      <c r="AL2" s="155" t="s">
        <v>226</v>
      </c>
      <c r="AM2" s="151"/>
      <c r="AN2" s="150">
        <f>IF(OR(B14=N1,B14=N2),IF(D42="",0,1),0)</f>
        <v>0</v>
      </c>
      <c r="AO2" s="32"/>
      <c r="AP2" s="134">
        <v>16</v>
      </c>
      <c r="AQ2" s="32"/>
      <c r="AR2" s="135" t="s">
        <v>227</v>
      </c>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row>
    <row r="3" spans="1:157" ht="35.25" customHeight="1" thickBot="1">
      <c r="A3" s="363" t="s">
        <v>88</v>
      </c>
      <c r="B3" s="364">
        <f>DEAPEntries!B3</f>
        <v>0</v>
      </c>
      <c r="C3" s="414" t="s">
        <v>89</v>
      </c>
      <c r="D3" s="680" t="str">
        <f>DEAPEntries!F3</f>
        <v>Sourced from DEAP  "results" tab (or DEAP workbook Fab tab). This is the sum of heat losses from fabric + ventilation + windows</v>
      </c>
      <c r="E3" s="680"/>
      <c r="F3" s="680"/>
      <c r="G3" s="680"/>
      <c r="H3" s="34"/>
      <c r="I3" s="30"/>
      <c r="J3" s="33"/>
      <c r="K3" s="30"/>
      <c r="L3" s="30"/>
      <c r="M3" s="30"/>
      <c r="N3" s="131" t="s">
        <v>228</v>
      </c>
      <c r="O3" s="32"/>
      <c r="P3" s="140" t="s">
        <v>229</v>
      </c>
      <c r="Q3" s="135" t="s">
        <v>230</v>
      </c>
      <c r="R3" s="32"/>
      <c r="S3" s="134" t="s">
        <v>231</v>
      </c>
      <c r="T3" s="143" t="s">
        <v>232</v>
      </c>
      <c r="U3" s="145" t="s">
        <v>233</v>
      </c>
      <c r="V3" s="32"/>
      <c r="W3" s="149" t="s">
        <v>234</v>
      </c>
      <c r="X3" s="150">
        <v>1.1000000000000001</v>
      </c>
      <c r="Y3" s="32"/>
      <c r="Z3" s="32"/>
      <c r="AA3" s="32"/>
      <c r="AB3" s="32"/>
      <c r="AC3" s="32"/>
      <c r="AD3" s="134" t="s">
        <v>235</v>
      </c>
      <c r="AE3" s="168" t="str">
        <f t="shared" ref="AE3:AE5" si="0">SUBSTITUTE(AD3," Temperature","")</f>
        <v>Medium</v>
      </c>
      <c r="AF3" s="32"/>
      <c r="AG3" s="134" t="s">
        <v>236</v>
      </c>
      <c r="AH3" s="32"/>
      <c r="AI3" s="32"/>
      <c r="AJ3" s="32"/>
      <c r="AK3" s="32"/>
      <c r="AL3" s="155" t="s">
        <v>237</v>
      </c>
      <c r="AN3" s="150">
        <f ca="1">IF(ISNUMBER(SEARCH("ERROR",C9&amp;C62&amp;D14&amp;D68&amp;G18)),1,0)</f>
        <v>0</v>
      </c>
      <c r="AO3" s="32"/>
      <c r="AP3" s="135">
        <v>24</v>
      </c>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row>
    <row r="4" spans="1:157" ht="39" customHeight="1" thickBot="1">
      <c r="A4" s="365" t="s">
        <v>238</v>
      </c>
      <c r="B4" s="366" t="str">
        <f>IFERROR(IF(B5="No",(B3*B6*(B19-B18)),(B3*B6/B7)*B8*(B19-B18))*(1-DEAPEntries!B8),"Please complete DEAPEntries tab")</f>
        <v>Please complete DEAPEntries tab</v>
      </c>
      <c r="C4" s="414" t="s">
        <v>239</v>
      </c>
      <c r="D4" s="680" t="s">
        <v>240</v>
      </c>
      <c r="E4" s="680"/>
      <c r="F4" s="680"/>
      <c r="G4" s="680"/>
      <c r="H4" s="34"/>
      <c r="I4" s="30"/>
      <c r="J4" s="33"/>
      <c r="K4" s="30"/>
      <c r="L4" s="30"/>
      <c r="M4" s="30"/>
      <c r="N4" s="131" t="s">
        <v>241</v>
      </c>
      <c r="O4" s="32"/>
      <c r="P4" s="32"/>
      <c r="Q4" s="32"/>
      <c r="R4" s="32"/>
      <c r="S4" s="134" t="s">
        <v>242</v>
      </c>
      <c r="T4" s="32"/>
      <c r="U4" s="145" t="s">
        <v>243</v>
      </c>
      <c r="V4" s="32"/>
      <c r="W4" s="149" t="s">
        <v>244</v>
      </c>
      <c r="X4" s="150">
        <v>1.1000000000000001</v>
      </c>
      <c r="Y4" s="32"/>
      <c r="Z4" s="32"/>
      <c r="AA4" s="32"/>
      <c r="AB4" s="32"/>
      <c r="AC4" s="32"/>
      <c r="AD4" s="134" t="s">
        <v>245</v>
      </c>
      <c r="AE4" s="168" t="str">
        <f t="shared" si="0"/>
        <v>High</v>
      </c>
      <c r="AF4" s="32"/>
      <c r="AG4" s="135" t="s">
        <v>246</v>
      </c>
      <c r="AH4" s="32"/>
      <c r="AI4" s="32"/>
      <c r="AJ4" s="32"/>
      <c r="AK4" s="32"/>
      <c r="AL4" s="155" t="s">
        <v>247</v>
      </c>
      <c r="AM4" s="152"/>
      <c r="AN4" s="153">
        <f ca="1">SUM(AN1:AN3)</f>
        <v>0</v>
      </c>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row>
    <row r="5" spans="1:157" ht="45.6" customHeight="1" thickBot="1">
      <c r="A5" s="365" t="s">
        <v>248</v>
      </c>
      <c r="B5" s="367" t="str">
        <f>E194</f>
        <v>No</v>
      </c>
      <c r="C5" s="414"/>
      <c r="D5" s="680"/>
      <c r="E5" s="680"/>
      <c r="F5" s="680"/>
      <c r="G5" s="680"/>
      <c r="H5" s="34"/>
      <c r="I5" s="30"/>
      <c r="J5" s="33"/>
      <c r="K5" s="30"/>
      <c r="L5" s="30"/>
      <c r="M5" s="30"/>
      <c r="N5" s="131" t="s">
        <v>249</v>
      </c>
      <c r="O5" s="32"/>
      <c r="P5" s="32"/>
      <c r="Q5" s="32"/>
      <c r="R5" s="32"/>
      <c r="S5" s="134" t="s">
        <v>250</v>
      </c>
      <c r="T5" s="32"/>
      <c r="U5" s="146" t="s">
        <v>251</v>
      </c>
      <c r="V5" s="32"/>
      <c r="W5" s="149" t="s">
        <v>252</v>
      </c>
      <c r="X5" s="150">
        <v>1.1000000000000001</v>
      </c>
      <c r="Y5" s="32"/>
      <c r="Z5" s="32"/>
      <c r="AA5" s="32"/>
      <c r="AB5" s="32"/>
      <c r="AC5" s="32"/>
      <c r="AD5" s="135" t="s">
        <v>253</v>
      </c>
      <c r="AE5" s="169" t="str">
        <f t="shared" si="0"/>
        <v>Very high</v>
      </c>
      <c r="AF5" s="32"/>
      <c r="AG5" s="32"/>
      <c r="AH5" s="32"/>
      <c r="AI5" s="32"/>
      <c r="AJ5" s="32"/>
      <c r="AK5" s="32"/>
      <c r="AL5" s="155" t="s">
        <v>254</v>
      </c>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row>
    <row r="6" spans="1:157" ht="63.6" customHeight="1">
      <c r="A6" s="365" t="s">
        <v>255</v>
      </c>
      <c r="B6" s="368">
        <f>E191</f>
        <v>0</v>
      </c>
      <c r="C6" s="414" t="s">
        <v>100</v>
      </c>
      <c r="D6" s="686"/>
      <c r="E6" s="686"/>
      <c r="F6" s="686"/>
      <c r="G6" s="686"/>
      <c r="H6" s="34"/>
      <c r="I6" s="30"/>
      <c r="J6" s="33"/>
      <c r="K6" s="30"/>
      <c r="L6" s="30"/>
      <c r="M6" s="30"/>
      <c r="N6" s="131" t="s">
        <v>241</v>
      </c>
      <c r="O6" s="32"/>
      <c r="P6" s="32"/>
      <c r="Q6" s="32"/>
      <c r="S6" s="134" t="s">
        <v>256</v>
      </c>
      <c r="T6" s="32"/>
      <c r="U6" s="26" t="s">
        <v>23</v>
      </c>
      <c r="V6" s="32"/>
      <c r="W6" s="149" t="s">
        <v>257</v>
      </c>
      <c r="X6" s="150">
        <v>1.3</v>
      </c>
      <c r="Y6" s="32"/>
      <c r="Z6" s="32"/>
      <c r="AA6" s="32"/>
      <c r="AB6" s="32"/>
      <c r="AC6" s="32"/>
      <c r="AE6" s="32"/>
      <c r="AF6" s="32"/>
      <c r="AG6" s="32"/>
      <c r="AH6" s="32"/>
      <c r="AI6" s="32"/>
      <c r="AJ6" s="32"/>
      <c r="AK6" s="32"/>
      <c r="AL6" s="155" t="s">
        <v>258</v>
      </c>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row>
    <row r="7" spans="1:157" ht="30" customHeight="1">
      <c r="A7" s="365" t="s">
        <v>95</v>
      </c>
      <c r="B7" s="369">
        <f>DEAPEntries!B5</f>
        <v>0</v>
      </c>
      <c r="C7" s="414" t="s">
        <v>259</v>
      </c>
      <c r="D7" s="680" t="str">
        <f>DEAPEntries!F5</f>
        <v>Sourced from DEAP: Building: Floors tab (or Dim tab in DEAP workbook)</v>
      </c>
      <c r="E7" s="680">
        <f>DEAPEntries!G5</f>
        <v>0</v>
      </c>
      <c r="F7" s="680">
        <f>DEAPEntries!H5</f>
        <v>0</v>
      </c>
      <c r="G7" s="680">
        <f>DEAPEntries!I5</f>
        <v>0</v>
      </c>
      <c r="H7" s="34"/>
      <c r="I7" s="30"/>
      <c r="J7" s="33"/>
      <c r="K7" s="30"/>
      <c r="L7" s="30"/>
      <c r="M7" s="30"/>
      <c r="N7" s="131" t="s">
        <v>260</v>
      </c>
      <c r="O7" s="32"/>
      <c r="P7" s="32"/>
      <c r="Q7" s="32"/>
      <c r="S7" s="134" t="s">
        <v>261</v>
      </c>
      <c r="T7" s="32"/>
      <c r="V7" s="32"/>
      <c r="W7" s="149" t="s">
        <v>262</v>
      </c>
      <c r="X7" s="150">
        <v>1.34</v>
      </c>
      <c r="Y7" s="32"/>
      <c r="Z7" s="32"/>
      <c r="AA7" s="32"/>
      <c r="AB7" s="32"/>
      <c r="AC7" s="32"/>
      <c r="AE7" s="32"/>
      <c r="AF7" s="32"/>
      <c r="AG7" s="32"/>
      <c r="AH7" s="32"/>
      <c r="AI7" s="32"/>
      <c r="AJ7" s="32"/>
      <c r="AK7" s="32"/>
      <c r="AL7" s="155" t="s">
        <v>263</v>
      </c>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row>
    <row r="8" spans="1:157" ht="30" customHeight="1" thickBot="1">
      <c r="A8" s="370" t="s">
        <v>264</v>
      </c>
      <c r="B8" s="371"/>
      <c r="C8" s="414" t="s">
        <v>259</v>
      </c>
      <c r="D8" s="680" t="s">
        <v>265</v>
      </c>
      <c r="E8" s="680" t="e">
        <f>DEAPEntries!#REF!</f>
        <v>#REF!</v>
      </c>
      <c r="F8" s="680" t="e">
        <f>DEAPEntries!#REF!</f>
        <v>#REF!</v>
      </c>
      <c r="G8" s="680" t="e">
        <f>DEAPEntries!#REF!</f>
        <v>#REF!</v>
      </c>
      <c r="H8" s="34"/>
      <c r="I8" s="30"/>
      <c r="J8" s="33"/>
      <c r="K8" s="30"/>
      <c r="L8" s="30"/>
      <c r="M8" s="30"/>
      <c r="N8" s="132" t="s">
        <v>266</v>
      </c>
      <c r="O8" s="32"/>
      <c r="P8" s="32"/>
      <c r="Q8" s="32"/>
      <c r="S8" s="134" t="s">
        <v>267</v>
      </c>
      <c r="T8" s="32"/>
      <c r="V8" s="32"/>
      <c r="W8" s="149" t="s">
        <v>268</v>
      </c>
      <c r="X8" s="150">
        <v>1.1000000000000001</v>
      </c>
      <c r="Y8" s="32"/>
      <c r="Z8" s="32"/>
      <c r="AA8" s="32"/>
      <c r="AB8" s="32"/>
      <c r="AC8" s="32"/>
      <c r="AD8" s="32"/>
      <c r="AE8" s="32"/>
      <c r="AF8" s="32"/>
      <c r="AG8" s="32"/>
      <c r="AH8" s="32"/>
      <c r="AI8" s="32"/>
      <c r="AJ8" s="32"/>
      <c r="AK8" s="32"/>
      <c r="AL8" s="155" t="s">
        <v>269</v>
      </c>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row>
    <row r="9" spans="1:157" ht="30" customHeight="1" thickBot="1">
      <c r="A9" s="372" t="str">
        <f>IF(N10=FALSE,"No heat Pump for Space Heating - PROCEED TO WATER HEATING","Heat Pump for Space Heating")</f>
        <v>Heat Pump for Space Heating</v>
      </c>
      <c r="B9" s="372"/>
      <c r="C9" s="683" t="str">
        <f ca="1">IF(N10,E224,".")</f>
        <v>Valid space heat pump type selected.</v>
      </c>
      <c r="D9" s="684"/>
      <c r="E9" s="684"/>
      <c r="F9" s="684"/>
      <c r="G9" s="714"/>
      <c r="H9" s="684"/>
      <c r="I9" s="685"/>
      <c r="J9" s="33"/>
      <c r="K9" s="30"/>
      <c r="L9" s="30"/>
      <c r="M9" s="30"/>
      <c r="N9" s="32" t="s">
        <v>270</v>
      </c>
      <c r="O9" s="32"/>
      <c r="P9" s="32"/>
      <c r="Q9" s="32"/>
      <c r="R9" s="32"/>
      <c r="S9" s="135" t="s">
        <v>271</v>
      </c>
      <c r="T9" s="32"/>
      <c r="U9" s="32"/>
      <c r="V9" s="32"/>
      <c r="W9" s="151" t="s">
        <v>272</v>
      </c>
      <c r="X9" s="150">
        <v>1.2</v>
      </c>
      <c r="Y9" s="32"/>
      <c r="Z9" s="32"/>
      <c r="AA9" s="32"/>
      <c r="AB9" s="32"/>
      <c r="AC9" s="32"/>
      <c r="AD9" s="32"/>
      <c r="AE9" s="32"/>
      <c r="AF9" s="32"/>
      <c r="AG9" s="32"/>
      <c r="AH9" s="32"/>
      <c r="AI9" s="32"/>
      <c r="AJ9" s="32"/>
      <c r="AK9" s="32"/>
      <c r="AL9" s="155" t="s">
        <v>273</v>
      </c>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row>
    <row r="10" spans="1:157" ht="30" customHeight="1" thickBot="1">
      <c r="A10" s="363" t="s">
        <v>274</v>
      </c>
      <c r="B10" s="373"/>
      <c r="D10" s="697" t="s">
        <v>275</v>
      </c>
      <c r="E10" s="697"/>
      <c r="F10" s="697"/>
      <c r="G10" s="127" t="s">
        <v>219</v>
      </c>
      <c r="H10" s="34"/>
      <c r="I10" s="30"/>
      <c r="J10" s="33"/>
      <c r="K10" s="30"/>
      <c r="L10" s="30"/>
      <c r="M10" s="30"/>
      <c r="N10" s="117" t="b">
        <f>M189</f>
        <v>1</v>
      </c>
      <c r="O10" s="32" t="s">
        <v>122</v>
      </c>
      <c r="P10" s="32"/>
      <c r="Q10" s="32"/>
      <c r="R10" s="32"/>
      <c r="S10" s="32"/>
      <c r="T10" s="32"/>
      <c r="U10" s="32"/>
      <c r="V10" s="32"/>
      <c r="W10" s="151" t="s">
        <v>276</v>
      </c>
      <c r="X10" s="150">
        <v>1.1000000000000001</v>
      </c>
      <c r="Y10" s="32"/>
      <c r="Z10" s="32"/>
      <c r="AA10" s="32"/>
      <c r="AB10" s="32"/>
      <c r="AC10" s="32"/>
      <c r="AD10" s="32"/>
      <c r="AE10" s="32"/>
      <c r="AF10" s="32"/>
      <c r="AG10" s="32"/>
      <c r="AH10" s="32"/>
      <c r="AI10" s="32"/>
      <c r="AJ10" s="32"/>
      <c r="AK10" s="32"/>
      <c r="AL10" s="156" t="s">
        <v>277</v>
      </c>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row>
    <row r="11" spans="1:157" ht="30" customHeight="1">
      <c r="A11" s="365" t="s">
        <v>278</v>
      </c>
      <c r="B11" s="374"/>
      <c r="D11" s="698" t="s">
        <v>279</v>
      </c>
      <c r="E11" s="698"/>
      <c r="F11" s="698"/>
      <c r="G11" s="127" t="s">
        <v>218</v>
      </c>
      <c r="H11" s="34"/>
      <c r="I11" s="30"/>
      <c r="J11" s="33"/>
      <c r="K11" s="30"/>
      <c r="L11" s="30"/>
      <c r="M11" s="30"/>
      <c r="N11" s="117" t="b">
        <f>M190</f>
        <v>1</v>
      </c>
      <c r="O11" s="32" t="s">
        <v>124</v>
      </c>
      <c r="P11" s="32"/>
      <c r="Q11" s="32"/>
      <c r="R11" s="32"/>
      <c r="S11" s="32"/>
      <c r="T11" s="32"/>
      <c r="U11" s="32"/>
      <c r="V11" s="32"/>
      <c r="W11" s="151" t="s">
        <v>280</v>
      </c>
      <c r="X11" s="150">
        <v>1.1000000000000001</v>
      </c>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row>
    <row r="12" spans="1:157" ht="126.6" customHeight="1" thickBot="1">
      <c r="A12" s="365" t="s">
        <v>281</v>
      </c>
      <c r="B12" s="374" t="s">
        <v>205</v>
      </c>
      <c r="C12" s="112" t="str">
        <f>IF(E189="Exhaust Air Heat Pump",
IF(LEFT(B12,7)&lt;&gt;"Exhaust","Warning: Type of heat pump selected here and in DEAPEntries tab do not match. 
Check entries",""),
IF(LEFT(B12,7)="Exhaust","Warning: Type of heat pump selected here and in DEAPEntries tab do not match. 
Check entries",""))</f>
        <v/>
      </c>
      <c r="D12" s="698" t="s">
        <v>282</v>
      </c>
      <c r="E12" s="698"/>
      <c r="F12" s="698"/>
      <c r="G12" s="128" t="s">
        <v>221</v>
      </c>
      <c r="H12" s="34"/>
      <c r="I12" s="30"/>
      <c r="J12" s="33"/>
      <c r="K12" s="30"/>
      <c r="L12" s="30"/>
      <c r="M12" s="30"/>
      <c r="N12" s="117" t="b">
        <f>IF(AND(N10=TRUE,N11=TRUE,$B$14&lt;&gt;$N$3),IF(B67="Same Heat Pump providing Space Heating and Domestic Hot Water",TRUE,FALSE),FALSE)</f>
        <v>1</v>
      </c>
      <c r="O12" s="32" t="s">
        <v>283</v>
      </c>
      <c r="P12" s="32"/>
      <c r="Q12" s="32"/>
      <c r="R12" s="32"/>
      <c r="S12" s="32"/>
      <c r="T12" s="32"/>
      <c r="U12" s="32"/>
      <c r="V12" s="32"/>
      <c r="W12" s="152" t="s">
        <v>284</v>
      </c>
      <c r="X12" s="153">
        <v>1.1000000000000001</v>
      </c>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row>
    <row r="13" spans="1:157" ht="78.599999999999994" customHeight="1">
      <c r="A13" s="365" t="s">
        <v>285</v>
      </c>
      <c r="B13" s="374" t="s">
        <v>209</v>
      </c>
      <c r="D13" s="680" t="s">
        <v>286</v>
      </c>
      <c r="E13" s="680"/>
      <c r="F13" s="680"/>
      <c r="G13" s="224" t="s">
        <v>287</v>
      </c>
      <c r="H13" s="34"/>
      <c r="I13" s="30"/>
      <c r="J13" s="33"/>
      <c r="K13" s="30"/>
      <c r="L13" s="30"/>
      <c r="M13" s="3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row>
    <row r="14" spans="1:157" ht="122.1" customHeight="1">
      <c r="A14" s="365" t="s">
        <v>288</v>
      </c>
      <c r="B14" s="375" t="s">
        <v>201</v>
      </c>
      <c r="C14" s="414"/>
      <c r="D14" s="691" t="str">
        <f ca="1">IFERROR(IF(OR(N10&lt;&gt;TRUE,ISNUMBER(SEARCH($B14,E229))),
".",
"ERROR:Check the option selected for space heating standard. Valid option(s) for this heat pump type as follows: "&amp;CHAR(10)&amp;E229),".")</f>
        <v>.</v>
      </c>
      <c r="E14" s="691"/>
      <c r="F14" s="691"/>
      <c r="G14" s="224" t="str">
        <f ca="1">A225&amp;E225</f>
        <v>Heat pump type:Air to Water</v>
      </c>
      <c r="H14" s="34"/>
      <c r="I14" s="30"/>
      <c r="J14" s="33"/>
      <c r="K14" s="30"/>
      <c r="L14" s="30"/>
      <c r="M14" s="30"/>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row>
    <row r="15" spans="1:157" ht="30" customHeight="1">
      <c r="A15" s="376" t="s">
        <v>289</v>
      </c>
      <c r="B15" s="375"/>
      <c r="C15" s="415" t="s">
        <v>290</v>
      </c>
      <c r="D15" s="680" t="s">
        <v>291</v>
      </c>
      <c r="E15" s="680"/>
      <c r="F15" s="680"/>
      <c r="G15" s="224" t="str">
        <f ca="1">A226&amp;E226</f>
        <v>Electric or GAHP:Electricity</v>
      </c>
      <c r="H15" s="34"/>
      <c r="I15" s="30"/>
      <c r="J15" s="33"/>
      <c r="K15" s="30"/>
      <c r="L15" s="30"/>
      <c r="M15" s="30"/>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row>
    <row r="16" spans="1:157" ht="30" customHeight="1">
      <c r="A16" s="376" t="s">
        <v>292</v>
      </c>
      <c r="B16" s="375"/>
      <c r="C16" s="415" t="s">
        <v>290</v>
      </c>
      <c r="D16" s="680" t="s">
        <v>291</v>
      </c>
      <c r="E16" s="680"/>
      <c r="F16" s="680"/>
      <c r="G16" s="224" t="str">
        <f ca="1">A227&amp;E227</f>
        <v>Low temp:Not low temperature heat pump</v>
      </c>
      <c r="H16" s="34"/>
      <c r="I16" s="30"/>
      <c r="J16" s="33"/>
      <c r="K16" s="30"/>
      <c r="L16" s="30"/>
      <c r="M16" s="30"/>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row>
    <row r="17" spans="1:157" ht="50.1" customHeight="1" thickBot="1">
      <c r="A17" s="377" t="s">
        <v>293</v>
      </c>
      <c r="B17" s="378">
        <f>IF(B5="Yes",B6*(1-DEAPEntries!B8)*(1-DEAPEntries!B7)*DEAPEntries!B4/DEAPEntries!I10,
                       B6*(1-DEAPEntries!B8)*(1-DEAPEntries!B7)*DEAPEntries!B4)</f>
        <v>0</v>
      </c>
      <c r="C17" s="414" t="s">
        <v>92</v>
      </c>
      <c r="D17" s="700"/>
      <c r="E17" s="700"/>
      <c r="F17" s="700"/>
      <c r="G17" s="224" t="str">
        <f ca="1">A228&amp;E228</f>
        <v>Ecodesign based stds:Ecodesign applies and/or ecodesign data available</v>
      </c>
      <c r="H17" s="189"/>
      <c r="I17" s="46"/>
      <c r="J17" s="33"/>
      <c r="K17" s="30"/>
      <c r="L17" s="30"/>
      <c r="M17" s="30"/>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row>
    <row r="18" spans="1:157" ht="42" customHeight="1" thickBot="1">
      <c r="A18" s="377" t="s">
        <v>294</v>
      </c>
      <c r="B18" s="379">
        <v>-3</v>
      </c>
      <c r="C18" s="415" t="s">
        <v>290</v>
      </c>
      <c r="D18" s="680" t="s">
        <v>295</v>
      </c>
      <c r="E18" s="680"/>
      <c r="F18" s="680"/>
      <c r="G18" s="227" t="str">
        <f>IF(AND(B16&gt;=52,G10=R1),"ERROR: WTOL can't be &gt;=52degC for low temperature heat pumps",IF(AND(B16&gt;45,G10=R1),"Warning: low temperature heat pump test data will only be available up to 45degC",""))</f>
        <v/>
      </c>
      <c r="H18" s="44"/>
      <c r="I18" s="45"/>
      <c r="J18" s="33"/>
      <c r="K18" s="30"/>
      <c r="L18" s="30"/>
      <c r="M18" s="3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row>
    <row r="19" spans="1:157" ht="30" customHeight="1" thickBot="1">
      <c r="A19" s="380" t="s">
        <v>296</v>
      </c>
      <c r="B19" s="381" t="str">
        <f>IFERROR(21*DEAPEntries!B6/DEAPEntries!B5+(1-DEAPEntries!B6/DEAPEntries!B5)*18,"Please complete DEAP Entries tab")</f>
        <v>Please complete DEAP Entries tab</v>
      </c>
      <c r="C19" s="415" t="s">
        <v>290</v>
      </c>
      <c r="D19" s="680" t="s">
        <v>297</v>
      </c>
      <c r="E19" s="680"/>
      <c r="F19" s="680"/>
      <c r="G19" s="186"/>
      <c r="H19" s="44"/>
      <c r="I19" s="45"/>
      <c r="J19" s="33"/>
      <c r="K19" s="30"/>
      <c r="L19" s="30"/>
      <c r="M19" s="30"/>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row>
    <row r="20" spans="1:157" ht="30" customHeight="1">
      <c r="A20" s="362" t="s">
        <v>298</v>
      </c>
      <c r="B20" s="166" t="s">
        <v>299</v>
      </c>
      <c r="C20" s="414"/>
      <c r="D20" s="26"/>
      <c r="E20" s="26"/>
      <c r="F20" s="26"/>
      <c r="H20" s="44"/>
      <c r="I20" s="45"/>
      <c r="J20" s="33"/>
      <c r="K20" s="30"/>
      <c r="L20" s="30"/>
      <c r="M20" s="30"/>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row>
    <row r="21" spans="1:157" ht="30" customHeight="1">
      <c r="A21" s="78" t="s">
        <v>300</v>
      </c>
      <c r="B21" s="187" t="s">
        <v>134</v>
      </c>
      <c r="H21" s="44"/>
      <c r="I21" s="45"/>
      <c r="J21" s="33"/>
      <c r="K21" s="30"/>
      <c r="L21" s="30"/>
      <c r="M21" s="30"/>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row>
    <row r="22" spans="1:157" ht="30" customHeight="1">
      <c r="A22" s="78" t="s">
        <v>301</v>
      </c>
      <c r="B22" s="187" t="s">
        <v>107</v>
      </c>
      <c r="D22" s="680" t="s">
        <v>302</v>
      </c>
      <c r="E22" s="680"/>
      <c r="F22" s="680"/>
      <c r="H22" s="44"/>
      <c r="I22" s="45"/>
      <c r="J22" s="33"/>
      <c r="K22" s="30"/>
      <c r="L22" s="30"/>
      <c r="M22" s="30"/>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row>
    <row r="23" spans="1:157" ht="33" customHeight="1" thickBot="1">
      <c r="A23" s="79" t="s">
        <v>303</v>
      </c>
      <c r="B23" s="188" t="s">
        <v>107</v>
      </c>
      <c r="D23" s="49">
        <f>IF(B24="Yes",35,IF(B21="Yes",55,IF(B22="Yes",45,35)))</f>
        <v>55</v>
      </c>
      <c r="E23" s="42" t="s">
        <v>290</v>
      </c>
      <c r="F23" s="29" t="s">
        <v>304</v>
      </c>
      <c r="H23" s="44"/>
      <c r="I23" s="45"/>
      <c r="J23" s="34"/>
      <c r="K23" s="30"/>
      <c r="L23" s="30"/>
      <c r="M23" s="3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row>
    <row r="24" spans="1:157" ht="30" customHeight="1">
      <c r="A24" s="382" t="s">
        <v>305</v>
      </c>
      <c r="B24" s="383" t="str">
        <f>IF(RIGHT(B12,6)="to Air","Yes","No")</f>
        <v>No</v>
      </c>
      <c r="D24" s="687" t="str">
        <f>IF(AND(B24="No",B25&gt;B16,OR(B14=N1,B14=N2)),
"ERROR: Design Flow Temperature is greater than Heat Pumps Operating Limit, please correct",
"")</f>
        <v/>
      </c>
      <c r="E24" s="688"/>
      <c r="F24" s="689"/>
      <c r="H24" s="44"/>
      <c r="I24" s="45"/>
      <c r="J24" s="33"/>
      <c r="K24" s="30"/>
      <c r="L24" s="30"/>
      <c r="M24" s="30"/>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row>
    <row r="25" spans="1:157" ht="69.599999999999994" customHeight="1">
      <c r="A25" s="384" t="s">
        <v>306</v>
      </c>
      <c r="B25" s="385"/>
      <c r="C25" s="42" t="s">
        <v>290</v>
      </c>
      <c r="D25" s="687" t="str">
        <f>(IF(B25&lt;D23,"WARNING: As design flow temperature is less than default, please ensure that documentary evidence is available to support it",""))</f>
        <v>WARNING: As design flow temperature is less than default, please ensure that documentary evidence is available to support it</v>
      </c>
      <c r="E25" s="688"/>
      <c r="F25" s="689"/>
      <c r="H25" s="44"/>
      <c r="I25" s="45"/>
      <c r="J25" s="33"/>
      <c r="K25" s="30"/>
      <c r="L25" s="30"/>
      <c r="M25" s="30"/>
      <c r="N25" s="32"/>
      <c r="O25" s="32" t="s">
        <v>307</v>
      </c>
      <c r="P25" s="32"/>
      <c r="Q25" s="32"/>
      <c r="R25" s="32"/>
      <c r="S25" s="32"/>
      <c r="T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row>
    <row r="26" spans="1:157" ht="30" customHeight="1">
      <c r="A26" s="377" t="s">
        <v>308</v>
      </c>
      <c r="B26" s="386">
        <f>IF(B24="Yes",1,1.2)</f>
        <v>1.2</v>
      </c>
      <c r="D26" s="699" t="s">
        <v>309</v>
      </c>
      <c r="E26" s="699"/>
      <c r="F26" s="699"/>
      <c r="H26" s="44"/>
      <c r="I26" s="45"/>
      <c r="J26" s="33"/>
      <c r="K26" s="30"/>
      <c r="L26" s="30"/>
      <c r="M26" s="30"/>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row>
    <row r="27" spans="1:157" ht="30" customHeight="1">
      <c r="A27" s="377" t="s">
        <v>310</v>
      </c>
      <c r="B27" s="386">
        <f>IF(B24="Yes",5,IF(B21="Yes",10,IF(B22="Yes",7.5,5)))</f>
        <v>10</v>
      </c>
      <c r="C27" s="42" t="s">
        <v>290</v>
      </c>
      <c r="D27" s="680" t="s">
        <v>309</v>
      </c>
      <c r="E27" s="680"/>
      <c r="F27" s="680"/>
      <c r="H27" s="44"/>
      <c r="I27" s="45"/>
      <c r="J27" s="46"/>
      <c r="K27" s="45"/>
      <c r="L27" s="45"/>
      <c r="M27" s="45"/>
    </row>
    <row r="28" spans="1:157" ht="30" customHeight="1">
      <c r="A28" s="377" t="s">
        <v>311</v>
      </c>
      <c r="B28" s="386">
        <f>B25-B27</f>
        <v>-10</v>
      </c>
      <c r="H28" s="44"/>
      <c r="I28" s="45"/>
      <c r="J28" s="46"/>
      <c r="K28" s="45"/>
      <c r="L28" s="45"/>
      <c r="M28" s="45"/>
    </row>
    <row r="29" spans="1:157" ht="30" customHeight="1">
      <c r="A29" s="377" t="s">
        <v>312</v>
      </c>
      <c r="B29" s="385">
        <v>8</v>
      </c>
      <c r="C29" s="26" t="s">
        <v>313</v>
      </c>
      <c r="D29" s="680" t="s">
        <v>314</v>
      </c>
      <c r="E29" s="680"/>
      <c r="F29" s="680"/>
      <c r="H29" s="44"/>
      <c r="I29" s="45"/>
      <c r="J29" s="46"/>
      <c r="K29" s="45"/>
      <c r="L29" s="45"/>
      <c r="M29" s="45"/>
    </row>
    <row r="30" spans="1:157" ht="30" customHeight="1">
      <c r="A30" s="377" t="s">
        <v>315</v>
      </c>
      <c r="B30" s="386">
        <f>24-B29</f>
        <v>16</v>
      </c>
      <c r="C30" s="26" t="s">
        <v>23</v>
      </c>
      <c r="H30" s="44"/>
      <c r="I30" s="45"/>
      <c r="J30" s="46"/>
      <c r="K30" s="45"/>
      <c r="L30" s="45"/>
      <c r="M30" s="45"/>
    </row>
    <row r="31" spans="1:157" ht="30" customHeight="1">
      <c r="A31" s="377" t="s">
        <v>316</v>
      </c>
      <c r="B31" s="387">
        <f>IF(G11=$Q$2,$X$2,$X$3)</f>
        <v>1.75</v>
      </c>
      <c r="D31" s="680" t="s">
        <v>317</v>
      </c>
      <c r="E31" s="680"/>
      <c r="F31" s="680"/>
      <c r="H31" s="44"/>
      <c r="I31" s="45"/>
      <c r="J31" s="46"/>
      <c r="K31" s="45"/>
      <c r="L31" s="45"/>
      <c r="M31" s="45"/>
    </row>
    <row r="32" spans="1:157" ht="30" customHeight="1">
      <c r="A32" s="377" t="s">
        <v>318</v>
      </c>
      <c r="B32" s="388" t="s">
        <v>107</v>
      </c>
      <c r="D32" s="680" t="s">
        <v>319</v>
      </c>
      <c r="E32" s="680"/>
      <c r="F32" s="680"/>
      <c r="H32" s="44"/>
      <c r="I32" s="45"/>
      <c r="J32" s="46"/>
      <c r="K32" s="45"/>
      <c r="L32" s="45"/>
      <c r="M32" s="45"/>
    </row>
    <row r="33" spans="1:23" ht="30" customHeight="1">
      <c r="A33" s="377" t="s">
        <v>320</v>
      </c>
      <c r="B33" s="385" t="s">
        <v>218</v>
      </c>
      <c r="D33" s="680" t="s">
        <v>319</v>
      </c>
      <c r="E33" s="680"/>
      <c r="F33" s="680"/>
      <c r="H33" s="44"/>
      <c r="I33" s="45"/>
      <c r="J33" s="46"/>
      <c r="K33" s="45"/>
      <c r="L33" s="45"/>
      <c r="M33" s="45"/>
    </row>
    <row r="34" spans="1:23" ht="47.25" customHeight="1">
      <c r="A34" s="377" t="s">
        <v>321</v>
      </c>
      <c r="B34" s="389">
        <f>VLOOKUP(B33,W2:X12,2,)</f>
        <v>1.75</v>
      </c>
      <c r="H34" s="44"/>
      <c r="I34" s="45"/>
      <c r="J34" s="46"/>
      <c r="K34" s="30"/>
      <c r="L34" s="30"/>
      <c r="M34" s="30"/>
    </row>
    <row r="35" spans="1:23" ht="30" customHeight="1">
      <c r="A35" s="377" t="s">
        <v>322</v>
      </c>
      <c r="B35" s="390"/>
      <c r="C35" s="26" t="s">
        <v>100</v>
      </c>
      <c r="D35" s="680" t="s">
        <v>323</v>
      </c>
      <c r="E35" s="680"/>
      <c r="F35" s="680"/>
      <c r="H35" s="44"/>
      <c r="I35" s="45"/>
      <c r="J35" s="46"/>
      <c r="K35" s="45"/>
      <c r="L35" s="45"/>
      <c r="M35" s="45"/>
    </row>
    <row r="36" spans="1:23" ht="30" customHeight="1">
      <c r="A36" s="384" t="s">
        <v>324</v>
      </c>
      <c r="B36" s="389">
        <f>IF(B32="Yes",(B31/B34)*B35,1)</f>
        <v>1</v>
      </c>
      <c r="G36" s="133"/>
      <c r="H36" s="44"/>
      <c r="I36" s="45"/>
      <c r="J36" s="46"/>
      <c r="K36" s="30"/>
      <c r="L36" s="30"/>
      <c r="M36" s="30"/>
    </row>
    <row r="37" spans="1:23" ht="34.35" customHeight="1" thickBot="1">
      <c r="D37" s="52"/>
      <c r="E37" s="52"/>
      <c r="F37" s="52"/>
      <c r="H37" s="229" t="s">
        <v>325</v>
      </c>
      <c r="I37" s="229" t="s">
        <v>326</v>
      </c>
      <c r="J37" s="229" t="s">
        <v>327</v>
      </c>
      <c r="K37" s="30"/>
      <c r="L37" s="30"/>
      <c r="M37" s="30"/>
      <c r="P37" s="32"/>
      <c r="U37" s="51"/>
      <c r="V37" s="51"/>
      <c r="W37" s="51"/>
    </row>
    <row r="38" spans="1:23" ht="78.599999999999994" customHeight="1">
      <c r="A38" s="711" t="str">
        <f>"Select the test Conditions according to the test data available from "&amp;B14</f>
        <v>Select the test Conditions according to the test data available from I.S. EN 14825</v>
      </c>
      <c r="B38" s="391" t="str">
        <f>AD4</f>
        <v>High Temperature</v>
      </c>
      <c r="C38" s="388" t="s">
        <v>134</v>
      </c>
      <c r="D38" s="703" t="str">
        <f>"Source from Ecodesign Data or accredited tests to " &amp;B14</f>
        <v>Source from Ecodesign Data or accredited tests to I.S. EN 14825</v>
      </c>
      <c r="E38" s="704"/>
      <c r="F38" s="705"/>
      <c r="G38" s="692" t="str">
        <f>"GUIDANCE NOTE: 
" &amp; IF($B$24="Yes","This is a 'to-air' heat pump. Select NO for all but "&amp;B38,
IF($G$10=$R$2,B38&amp;" Application Data is a mandatory requirement under Ecodesign Directive for this heat pump so must be selected as well as any other temperature applications for which test data is available",
B39&amp;" Application Data is a mandatory requirement under Ecodesign Directive for this heat pump so must be selected. If it is available, application data may also be selected at "&amp;B40))</f>
        <v>GUIDANCE NOTE: 
High Temperature Application Data is a mandatory requirement under Ecodesign Directive for this heat pump so must be selected as well as any other temperature applications for which test data is available</v>
      </c>
      <c r="H38" s="229" t="b">
        <f>IF($B$24="Yes",TRUE,FALSE)</f>
        <v>0</v>
      </c>
      <c r="I38" s="229" t="b">
        <f>IF($G$10=$R$1,TRUE,FALSE)</f>
        <v>0</v>
      </c>
      <c r="J38" s="229" t="str">
        <f>IF($I$38,"No","Yes")</f>
        <v>Yes</v>
      </c>
      <c r="K38" s="45"/>
      <c r="L38" s="45"/>
      <c r="M38" s="45"/>
      <c r="O38" s="32"/>
      <c r="P38" s="32"/>
    </row>
    <row r="39" spans="1:23" ht="31.5" customHeight="1">
      <c r="A39" s="712"/>
      <c r="B39" s="391" t="str">
        <f>AD2</f>
        <v>Low Temperature</v>
      </c>
      <c r="C39" s="388" t="s">
        <v>107</v>
      </c>
      <c r="D39" s="706"/>
      <c r="E39" s="682"/>
      <c r="F39" s="707"/>
      <c r="G39" s="693"/>
      <c r="H39" s="57"/>
      <c r="I39" s="45"/>
      <c r="J39" s="229" t="str">
        <f>IF($I$38,"Yes",IF($H$38,"No",C39))</f>
        <v>No</v>
      </c>
      <c r="K39" s="45"/>
      <c r="L39" s="45"/>
      <c r="M39" s="45"/>
    </row>
    <row r="40" spans="1:23" ht="26.1" customHeight="1">
      <c r="A40" s="712"/>
      <c r="B40" s="391" t="str">
        <f>AD3</f>
        <v>Medium Temperature</v>
      </c>
      <c r="C40" s="388" t="s">
        <v>107</v>
      </c>
      <c r="D40" s="706"/>
      <c r="E40" s="682"/>
      <c r="F40" s="707"/>
      <c r="G40" s="693"/>
      <c r="H40" s="57"/>
      <c r="I40" s="45"/>
      <c r="J40" s="229" t="str">
        <f>IF($I$38,C40,IF($H$38,"No",C40))</f>
        <v>No</v>
      </c>
      <c r="K40" s="45"/>
      <c r="L40" s="45"/>
      <c r="M40" s="45"/>
    </row>
    <row r="41" spans="1:23" ht="26.45" customHeight="1" thickBot="1">
      <c r="A41" s="713"/>
      <c r="B41" s="391" t="str">
        <f>AD5</f>
        <v>Very high Temperature</v>
      </c>
      <c r="C41" s="388" t="s">
        <v>107</v>
      </c>
      <c r="D41" s="708"/>
      <c r="E41" s="709"/>
      <c r="F41" s="710"/>
      <c r="G41" s="694"/>
      <c r="H41" s="57"/>
      <c r="I41" s="45"/>
      <c r="J41" s="229" t="str">
        <f>IF($I$38,"No",IF($H$38,"No",C41))</f>
        <v>No</v>
      </c>
      <c r="K41" s="45"/>
      <c r="L41" s="45"/>
      <c r="M41" s="45"/>
      <c r="U41" s="51"/>
      <c r="V41" s="51"/>
      <c r="W41" s="51"/>
    </row>
    <row r="42" spans="1:23" ht="66.599999999999994" customHeight="1" thickBot="1">
      <c r="A42" s="59"/>
      <c r="B42" s="158" t="str">
        <f>"Maximum test temperature allowed for in tests to "&amp;B14</f>
        <v>Maximum test temperature allowed for in tests to I.S. EN 14825</v>
      </c>
      <c r="C42" s="159">
        <f>IF($B$24="Yes",35,IF(C41="Yes",65,IF(C38="Yes",55,IF(C40="Yes",45,35))))</f>
        <v>55</v>
      </c>
      <c r="D42" s="701" t="str">
        <f>IF(B25&gt;C42,"ERROR: Heat Pump data not suitable for Design Flow Temperature, test data must be available for higher supply temperature","")</f>
        <v/>
      </c>
      <c r="E42" s="702"/>
      <c r="F42" s="702"/>
      <c r="G42" s="228" t="str">
        <f>IF(C38&amp;C39&amp;C40&amp;C41&lt;&gt;J38&amp;J39&amp;J40&amp;J41,"Warning: incorrect application temperatures selected for this heat pump type. Check entries please.","")</f>
        <v/>
      </c>
      <c r="H42" s="57"/>
      <c r="I42" s="57"/>
      <c r="J42" s="46"/>
      <c r="K42" s="45"/>
      <c r="L42" s="45"/>
      <c r="M42" s="45"/>
      <c r="U42" s="51"/>
      <c r="V42" s="51"/>
      <c r="W42" s="51"/>
    </row>
    <row r="43" spans="1:23" ht="33.75" customHeight="1" thickBot="1">
      <c r="A43" s="62" t="s">
        <v>23</v>
      </c>
      <c r="B43" s="160" t="str">
        <f>"Test Conditions "&amp;B14</f>
        <v>Test Conditions I.S. EN 14825</v>
      </c>
      <c r="C43" s="163" t="s">
        <v>328</v>
      </c>
      <c r="D43" s="164" t="s">
        <v>329</v>
      </c>
      <c r="E43" s="164" t="s">
        <v>330</v>
      </c>
      <c r="F43" s="164" t="s">
        <v>331</v>
      </c>
      <c r="G43" s="165" t="s">
        <v>332</v>
      </c>
      <c r="H43" s="63"/>
      <c r="I43" s="64"/>
      <c r="J43" s="46"/>
      <c r="K43" s="30"/>
      <c r="L43" s="30"/>
      <c r="M43" s="30"/>
      <c r="R43" s="26" t="s">
        <v>23</v>
      </c>
      <c r="S43" s="26" t="s">
        <v>23</v>
      </c>
    </row>
    <row r="44" spans="1:23" ht="51.75" customHeight="1">
      <c r="A44" s="65" t="str">
        <f>B39&amp;" Application (35degC)"</f>
        <v>Low Temperature Application (35degC)</v>
      </c>
      <c r="B44" s="392" t="s">
        <v>333</v>
      </c>
      <c r="C44" s="404" t="str">
        <f>IF(OR($B$12="Water to Water",$B$12="Water to Air"),"W10",
IF(OR($B$12="Brine to Water",$B$12="Brine to Air"),"B0",
IF($B$12=$S$4,"A20",
IF($B$12=$S$5,"E4",
"A-7"))))</f>
        <v>A-7</v>
      </c>
      <c r="D44" s="405" t="str">
        <f>IF(OR($B$12="Water to Water",$B$12="Water to Air"),"W10",
IF(OR($B$12="Brine to Water",$B$12="Brine to Air"),"B0",
IF($B$12=$S$4,"A20",
IF($B$12=$S$5,"E4",
"A2"))))</f>
        <v>A2</v>
      </c>
      <c r="E44" s="405" t="str">
        <f>IF(OR($B$12="Water to Water",$B$12="Water to Air"),"W10",
IF(OR($B$12="Brine to Water",$B$12="Brine to Air"),"B0",
IF($B$12=$S$4,"A20",
IF($B$12=$S$5,"E4",
"A7"))))</f>
        <v>A7</v>
      </c>
      <c r="F44" s="405" t="str">
        <f>IF(OR($B$12="Water to Water",$B$12="Water to Air"),"W10",
IF(OR($B$12="Brine to Water",$B$12="Brine to Air"),"B0",
IF($B$12=$S$4,"A20",
IF($B$12=$S$5,"E4",
"A12"))))</f>
        <v>A12</v>
      </c>
      <c r="G44" s="406" t="str">
        <f>IF(OR($B$12="Water to Water",$B$12="Water to Air"),"W10",
IF(OR($B$12="Brine to Water",$B$12="Brine to Air"),"B0",
IF($B$12=$S$4,"A20",
IF($B$12=$S$5,"E4",
"A"&amp;$B$15))))</f>
        <v>A</v>
      </c>
      <c r="H44" s="66"/>
      <c r="I44" s="68"/>
      <c r="J44" s="46"/>
      <c r="K44" s="45"/>
      <c r="L44" s="45"/>
      <c r="M44" s="45"/>
    </row>
    <row r="45" spans="1:23" ht="32.25" customHeight="1">
      <c r="A45" s="161" t="str">
        <f>"Standard: "&amp;$B$14</f>
        <v>Standard: I.S. EN 14825</v>
      </c>
      <c r="B45" s="393" t="s">
        <v>334</v>
      </c>
      <c r="C45" s="407" t="str">
        <f>IF(OR($B$12="Water to Air",$B$12="Air to Air",$B$12="Brine to Air"),"A20",(IF($B$13="Fixed Outlet","W35","W34")))</f>
        <v>W35</v>
      </c>
      <c r="D45" s="408" t="str">
        <f>IF(OR($B$12="Water to Air",$B$12="Air to Air",$B$12="Brine to Air"),"A20",(IF($B$13="Fixed Outlet","W35","W30")))</f>
        <v>W35</v>
      </c>
      <c r="E45" s="408" t="str">
        <f>IF(OR($B$12="Water to Air",$B$12="Air to Air",$B$12="Brine to Air"),"A20",(IF($B$13="Fixed Outlet","W35","W27")))</f>
        <v>W35</v>
      </c>
      <c r="F45" s="408" t="str">
        <f>IF(OR($B$12="Water to Air",$B$12="Air to Air",$B$12="Brine to Air"),"A20",(IF($B$13="Fixed Outlet","W35","W24")))</f>
        <v>W35</v>
      </c>
      <c r="G45" s="409" t="str">
        <f>IF(OR($B$12="Water to Air",$B$12="Air to Air",$B$12="Brine to Air"),"A20",(IF($B$13="Fixed Outlet","W35","W35")))</f>
        <v>W35</v>
      </c>
      <c r="H45" s="66"/>
      <c r="I45" s="68"/>
      <c r="J45" s="46"/>
      <c r="K45" s="45"/>
      <c r="L45" s="45"/>
      <c r="M45" s="45"/>
    </row>
    <row r="46" spans="1:23" ht="31.5" customHeight="1">
      <c r="A46" s="695" t="str">
        <f>IF($B$24="yes","No entries required here. 'To-air' heat pump",
" Source from Ecodesign data or 
"&amp;IF($B$14=$N$1, "I.S. EN14825 Table 8 for air source. 
Table 12 for brine, water or DX source. 
[These table # references are from 2016 version of this standard]",
IF($B$14=$N$2,"I.S. EN12309-6 Table 5 for air source. 
Table 17 for Brine or Water source.
[These table # references are from 2014 version of this standard]",
"")))</f>
        <v xml:space="preserve"> Source from Ecodesign data or 
I.S. EN14825 Table 8 for air source. 
Table 12 for brine, water or DX source. 
[These table # references are from 2016 version of this standard]</v>
      </c>
      <c r="B46" s="393" t="s">
        <v>335</v>
      </c>
      <c r="C46" s="371"/>
      <c r="D46" s="388"/>
      <c r="E46" s="388"/>
      <c r="F46" s="388"/>
      <c r="G46" s="413"/>
      <c r="H46" s="69"/>
      <c r="I46" s="45"/>
      <c r="J46" s="46"/>
      <c r="K46" s="45"/>
      <c r="L46" s="45"/>
      <c r="M46" s="45"/>
      <c r="U46" s="51"/>
      <c r="V46" s="51"/>
      <c r="W46" s="51"/>
    </row>
    <row r="47" spans="1:23" ht="43.35" customHeight="1" thickBot="1">
      <c r="A47" s="696"/>
      <c r="B47" s="394" t="s">
        <v>336</v>
      </c>
      <c r="C47" s="410"/>
      <c r="D47" s="411"/>
      <c r="E47" s="411"/>
      <c r="F47" s="411"/>
      <c r="G47" s="412"/>
      <c r="H47" s="71"/>
      <c r="I47" s="68"/>
      <c r="J47" s="46"/>
      <c r="K47" s="30"/>
      <c r="L47" s="30"/>
      <c r="M47" s="30"/>
    </row>
    <row r="48" spans="1:23" ht="36" customHeight="1">
      <c r="A48" s="65" t="str">
        <f>B40&amp;" Application (45degC)"</f>
        <v>Medium Temperature Application (45degC)</v>
      </c>
      <c r="B48" s="396" t="s">
        <v>333</v>
      </c>
      <c r="C48" s="404" t="str">
        <f>IF(OR($B$12="Water to Water",$B$12="Water to Air"),"W10",
IF(OR($B$12="Brine to Water",$B$12="Brine to Air"),"B0",
IF($B$12=$S$4,"A20",
IF($B$12=$S$5,"E4",
"A-7"))))</f>
        <v>A-7</v>
      </c>
      <c r="D48" s="405" t="str">
        <f>IF(OR($B$12="Water to Water",$B$12="Water to Air"),"W10",
IF(OR($B$12="Brine to Water",$B$12="Brine to Air"),"B0",
IF($B$12=$S$4,"A20",
IF($B$12=$S$5,"E4",
"A2"))))</f>
        <v>A2</v>
      </c>
      <c r="E48" s="405" t="str">
        <f>IF(OR($B$12="Water to Water",$B$12="Water to Air"),"W10",
IF(OR($B$12="Brine to Water",$B$12="Brine to Air"),"B0",
IF($B$12=$S$4,"A20",
IF($B$12=$S$5,"E4",
"A7"))))</f>
        <v>A7</v>
      </c>
      <c r="F48" s="405" t="str">
        <f>IF(OR($B$12="Water to Water",$B$12="Water to Air"),"W10",
IF(OR($B$12="Brine to Water",$B$12="Brine to Air"),"B0",
IF($B$12=$S$4,"A20",
IF($B$12=$S$5,"E4",
"A12"))))</f>
        <v>A12</v>
      </c>
      <c r="G48" s="406" t="str">
        <f>IF(OR($B$12="Water to Water",$B$12="Water to Air"),"W10",
IF(OR($B$12="Brine to Water",$B$12="Brine to Air"),"B0",
IF($B$12=$S$4,"A20",
IF($B$12=$S$5,"E4",
"A"&amp;$B$15))))</f>
        <v>A</v>
      </c>
      <c r="H48" s="71"/>
      <c r="I48" s="73"/>
      <c r="J48" s="46"/>
      <c r="K48" s="45"/>
      <c r="L48" s="45"/>
      <c r="M48" s="45"/>
    </row>
    <row r="49" spans="1:157" ht="15.75" customHeight="1">
      <c r="A49" s="161" t="str">
        <f>"Standard: "&amp;$B$14</f>
        <v>Standard: I.S. EN 14825</v>
      </c>
      <c r="B49" s="397" t="s">
        <v>334</v>
      </c>
      <c r="C49" s="407" t="str">
        <f>IF(OR($B$12="Water to Air",$B$12="Air to Air",$B$12="Brine to Air"),"A20",(IF($B$13="Fixed Outlet","W45","W43")))</f>
        <v>W45</v>
      </c>
      <c r="D49" s="408" t="str">
        <f>IF(OR($B$12="Water to Air",$B$12="Air to Air",$B$12="Brine to Air"),"A20",(IF($B$13="Fixed Outlet","W45","W37")))</f>
        <v>W45</v>
      </c>
      <c r="E49" s="408" t="str">
        <f>IF(OR($B$12="Water to Air",$B$12="Air to Air",$B$12="Brine to Air"),"A20",(IF($B$13="Fixed Outlet","W45","W33")))</f>
        <v>W45</v>
      </c>
      <c r="F49" s="408" t="str">
        <f>IF(OR($B$12="Water to Air",$B$12="Air to Air",$B$12="Brine to Air"),"A20",(IF($B$13="Fixed Outlet","W45","W28")))</f>
        <v>W45</v>
      </c>
      <c r="G49" s="409" t="str">
        <f>IF(OR($B$12="Water to Air",$B$12="Air to Air",$B$12="Brine to Air"),"A20",(IF($B$13="Fixed Outlet","W45","W45")))</f>
        <v>W45</v>
      </c>
      <c r="H49" s="71"/>
      <c r="I49" s="73"/>
      <c r="J49" s="46"/>
      <c r="K49" s="45"/>
      <c r="L49" s="45"/>
      <c r="M49" s="45"/>
    </row>
    <row r="50" spans="1:157" ht="15.75" customHeight="1">
      <c r="A50" s="695" t="str">
        <f>IF($B$24="yes","No entries required here. 'To-air' heat pump",
" Source from Ecodesign data or 
"&amp;IF($B$14=$N$1, "I.S. EN14825 Table 9 for air source. 
Table 13 for brine, water or DX source. 
[These table # references are from 2016 version of this standard]",
IF($B$14=$N$2,"I.S. EN12309-6 Table 8 for air source. 
Table 20 for Brine or Water source.
[These table # references are from 2014 version of this standard]",
"")))</f>
        <v xml:space="preserve"> Source from Ecodesign data or 
I.S. EN14825 Table 9 for air source. 
Table 13 for brine, water or DX source. 
[These table # references are from 2016 version of this standard]</v>
      </c>
      <c r="B50" s="397" t="s">
        <v>335</v>
      </c>
      <c r="C50" s="371"/>
      <c r="D50" s="388"/>
      <c r="E50" s="388"/>
      <c r="F50" s="388"/>
      <c r="G50" s="413"/>
      <c r="H50" s="66"/>
      <c r="I50" s="68"/>
      <c r="J50" s="46"/>
      <c r="K50" s="45"/>
      <c r="L50" s="45"/>
      <c r="M50" s="45"/>
      <c r="N50" s="54"/>
    </row>
    <row r="51" spans="1:157" ht="60" customHeight="1" thickBot="1">
      <c r="A51" s="696"/>
      <c r="B51" s="399" t="s">
        <v>336</v>
      </c>
      <c r="C51" s="410"/>
      <c r="D51" s="411"/>
      <c r="E51" s="411"/>
      <c r="F51" s="411"/>
      <c r="G51" s="412"/>
      <c r="H51" s="75"/>
      <c r="I51" s="66"/>
      <c r="J51" s="46"/>
      <c r="K51" s="45"/>
      <c r="L51" s="45"/>
      <c r="M51" s="45"/>
      <c r="N51" s="55" t="s">
        <v>23</v>
      </c>
    </row>
    <row r="52" spans="1:157" ht="28.5" customHeight="1">
      <c r="A52" s="162" t="str">
        <f>IF(B24="Yes","To Air test points",B38&amp;" Application (55degC).")</f>
        <v>High Temperature Application (55degC).</v>
      </c>
      <c r="B52" s="396" t="s">
        <v>333</v>
      </c>
      <c r="C52" s="404" t="str">
        <f>IF(OR($B$12="Water to Water",$B$12="Water to Air"),"W10",
IF(OR($B$12="Brine to Water",$B$12="Brine to Air"),"B0",
IF(LEFT($B$12,7)="Exhaust","A20",
IF($B$12=$S$5,"E4",
"A-7"))))</f>
        <v>A-7</v>
      </c>
      <c r="D52" s="405" t="str">
        <f>IF(OR($B$12="Water to Water",$B$12="Water to Air"),"W10",
IF(OR($B$12="Brine to Water",$B$12="Brine to Air"),"B0",
IF(LEFT($B$12,7)="Exhaust","A20",
IF($B$12=$S$5,"E4",
"A2"))))</f>
        <v>A2</v>
      </c>
      <c r="E52" s="405" t="str">
        <f>IF(OR($B$12="Water to Water",$B$12="Water to Air"),"W10",
IF(OR($B$12="Brine to Water",$B$12="Brine to Air"),"B0",
IF(LEFT($B$12,7)="Exhaust","A20",
IF($B$12=$S$5,"E4",
"A7"))))</f>
        <v>A7</v>
      </c>
      <c r="F52" s="405" t="str">
        <f>IF(OR($B$12="Water to Water",$B$12="Water to Air"),"W10",
IF(OR($B$12="Brine to Water",$B$12="Brine to Air"),"B0",
IF(LEFT($B$12,7)="Exhaust","A20",
IF($B$12=$S$5,"E4",
"A12"))))</f>
        <v>A12</v>
      </c>
      <c r="G52" s="406" t="str">
        <f>IF(OR($B$12="Water to Water",$B$12="Water to Air"),"W10",
IF(OR($B$12="Brine to Water",$B$12="Brine to Air"),"B0",
IF(LEFT($B$12,7)="Exhaust","A20",
IF($B$12=$S$5,"E4",
"A"&amp;$B$15))))</f>
        <v>A</v>
      </c>
      <c r="H52" s="75"/>
      <c r="I52" s="73"/>
      <c r="J52" s="58"/>
      <c r="K52" s="57"/>
      <c r="L52" s="57"/>
      <c r="M52" s="57"/>
      <c r="N52" s="59"/>
    </row>
    <row r="53" spans="1:157" ht="78.599999999999994" customHeight="1">
      <c r="A53" s="161" t="str">
        <f>"Standard: "&amp;$B$14</f>
        <v>Standard: I.S. EN 14825</v>
      </c>
      <c r="B53" s="397" t="s">
        <v>334</v>
      </c>
      <c r="C53" s="407" t="str">
        <f>IF($B$24="Yes","A20",(IF($B$13="Fixed Outlet","W55","W52")))</f>
        <v>W55</v>
      </c>
      <c r="D53" s="408" t="str">
        <f>IF($B$24="Yes","A20",(IF($B$13="Fixed Outlet","W55","W42")))</f>
        <v>W55</v>
      </c>
      <c r="E53" s="408" t="str">
        <f>IF($B$24="Yes","A20",(IF($B$13="Fixed Outlet","W55","W36")))</f>
        <v>W55</v>
      </c>
      <c r="F53" s="408" t="str">
        <f>IF($B$24="Yes","A20",(IF($B$13="Fixed Outlet","W55","W30")))</f>
        <v>W55</v>
      </c>
      <c r="G53" s="409" t="str">
        <f>IF($B$24="Yes","A20",(IF($B$13="Fixed Outlet","W55","W55")))</f>
        <v>W55</v>
      </c>
      <c r="H53" s="75"/>
      <c r="I53" s="73"/>
      <c r="J53" s="60"/>
      <c r="K53" s="30"/>
      <c r="L53" s="30"/>
      <c r="M53" s="30"/>
      <c r="N53" s="59"/>
    </row>
    <row r="54" spans="1:157" ht="30.75" customHeight="1">
      <c r="A54" s="695" t="str">
        <f>IF($B$24="yes",IF($B$14=$N$3,"Source data from I.S. EN 14511 as required by I.S. EN 13141 for this heat pump type. See DEAP manual Appendix G", "'To-air' heat pump. Source from Ecodesign data or I.S. EN14825 Table 6 for air source, and Table 7 for brine/water source"),
" Source from Ecodesign data or 
"&amp;IF($B$14=$N$1, "I.S. EN14825 Table 10 for air source. 
Table 14 for brine, water or DX source. 
[These table # references are from 2016 version of this standard]",
IF($B$14=$N$2,"I.S. EN12309-6 Table 11 for air source. 
Table 23 for Brine or Water source.
[These table # references are from 2014 version of this standard]",
"")))</f>
        <v xml:space="preserve"> Source from Ecodesign data or 
I.S. EN14825 Table 10 for air source. 
Table 14 for brine, water or DX source. 
[These table # references are from 2016 version of this standard]</v>
      </c>
      <c r="B54" s="397" t="s">
        <v>335</v>
      </c>
      <c r="C54" s="371"/>
      <c r="D54" s="388"/>
      <c r="E54" s="388"/>
      <c r="F54" s="388"/>
      <c r="G54" s="413"/>
      <c r="H54" s="26"/>
      <c r="I54" s="68"/>
      <c r="J54" s="61"/>
      <c r="K54" s="30"/>
      <c r="L54" s="30"/>
      <c r="M54" s="30"/>
      <c r="N54" s="59"/>
    </row>
    <row r="55" spans="1:157" ht="42.6" customHeight="1" thickBot="1">
      <c r="A55" s="696"/>
      <c r="B55" s="400" t="s">
        <v>336</v>
      </c>
      <c r="C55" s="410"/>
      <c r="D55" s="411"/>
      <c r="E55" s="411"/>
      <c r="F55" s="411"/>
      <c r="G55" s="412"/>
      <c r="H55" s="66"/>
      <c r="I55" s="66"/>
      <c r="J55" s="61"/>
      <c r="K55" s="30"/>
      <c r="L55" s="30"/>
      <c r="M55" s="30"/>
      <c r="N55" s="59"/>
    </row>
    <row r="56" spans="1:157" ht="30.75" customHeight="1">
      <c r="A56" s="65" t="str">
        <f>B41&amp;" Application (65degC)"</f>
        <v>Very high Temperature Application (65degC)</v>
      </c>
      <c r="B56" s="401" t="s">
        <v>333</v>
      </c>
      <c r="C56" s="404" t="str">
        <f>IF(OR($B$12="Water to Water",$B$12="Water to Air"),"W10",
IF(OR($B$12="Brine to Water",$B$12="Brine to Air"),"B0",
IF($B$12=$S$4,"A20",
IF($B$12=$S$5,"E4",
"A-7"))))</f>
        <v>A-7</v>
      </c>
      <c r="D56" s="405" t="str">
        <f>IF(OR($B$12="Water to Water",$B$12="Water to Air"),"W10",
IF(OR($B$12="Brine to Water",$B$12="Brine to Air"),"B0",
IF($B$12=$S$4,"A20",
IF($B$12=$S$5,"E4",
"A2"))))</f>
        <v>A2</v>
      </c>
      <c r="E56" s="405" t="str">
        <f>IF(OR($B$12="Water to Water",$B$12="Water to Air"),"W10",
IF(OR($B$12="Brine to Water",$B$12="Brine to Air"),"B0",
IF($B$12=$S$4,"A20",
IF($B$12=$S$5,"E4",
"A7"))))</f>
        <v>A7</v>
      </c>
      <c r="F56" s="405" t="str">
        <f>IF(OR($B$12="Water to Water",$B$12="Water to Air"),"W10",
IF(OR($B$12="Brine to Water",$B$12="Brine to Air"),"B0",
IF($B$12=$S$4,"A20",
IF($B$12=$S$5,"E4",
"A12"))))</f>
        <v>A12</v>
      </c>
      <c r="G56" s="406" t="str">
        <f>IF(OR($B$12="Water to Water",$B$12="Water to Air"),"W10",
IF(OR($B$12="Brine to Water",$B$12="Brine to Air"),"B0",
IF($B$12=$S$4,"A20",
IF($B$12=$S$5,"E4",
"A"&amp;$B$15))))</f>
        <v>A</v>
      </c>
      <c r="H56" s="75"/>
      <c r="I56" s="73"/>
      <c r="J56" s="61"/>
      <c r="K56" s="30"/>
      <c r="L56" s="30"/>
      <c r="M56" s="30"/>
      <c r="N56" s="32"/>
      <c r="O56" s="32"/>
      <c r="P56" s="32"/>
      <c r="Q56" s="32"/>
      <c r="R56" s="32"/>
      <c r="S56" s="32"/>
      <c r="T56" s="32"/>
    </row>
    <row r="57" spans="1:157" ht="49.5" customHeight="1">
      <c r="A57" s="161" t="str">
        <f>"Standard: "&amp;$B$14</f>
        <v>Standard: I.S. EN 14825</v>
      </c>
      <c r="B57" s="397" t="s">
        <v>334</v>
      </c>
      <c r="C57" s="407" t="str">
        <f>IF(OR($B$12="Water to Air",$B$12="Air to Air",$B$12="Brine to Air"),"A20",(IF($B$13="Fixed Outlet","W65","W61")))</f>
        <v>W65</v>
      </c>
      <c r="D57" s="408" t="str">
        <f>IF(OR($B$12="Water to Air",$B$12="Air to Air",$B$12="Brine to Air"),"A20",(IF($B$13="Fixed Outlet","W65","W49")))</f>
        <v>W65</v>
      </c>
      <c r="E57" s="408" t="str">
        <f>IF(OR($B$12="Water to Air",$B$12="Air to Air",$B$12="Brine to Air"),"A20",(IF($B$13="Fixed Outlet","W65","W41")))</f>
        <v>W65</v>
      </c>
      <c r="F57" s="408" t="str">
        <f>IF(OR($B$12="Water to Air",$B$12="Air to Air",$B$12="Brine to Air"),"A20",(IF($B$13="Fixed Outlet","W65","W32")))</f>
        <v>W65</v>
      </c>
      <c r="G57" s="409" t="str">
        <f>IF(OR($B$12="Water to Air",$B$12="Air to Air",$B$12="Brine to Air"),"A20",(IF($B$13="Fixed Outlet","W65","W65")))</f>
        <v>W65</v>
      </c>
      <c r="H57" s="75" t="s">
        <v>23</v>
      </c>
      <c r="I57" s="73" t="s">
        <v>23</v>
      </c>
      <c r="J57" s="61"/>
      <c r="K57" s="57"/>
      <c r="L57" s="57"/>
      <c r="M57" s="57"/>
      <c r="N57" s="32"/>
      <c r="O57" s="32"/>
      <c r="P57" s="32"/>
      <c r="Q57" s="32"/>
      <c r="R57" s="32"/>
      <c r="S57" s="32"/>
      <c r="T57" s="32"/>
    </row>
    <row r="58" spans="1:157" ht="30.75" customHeight="1">
      <c r="A58" s="695" t="str">
        <f>IF($B$24="yes","No entries required here. 'To-air' heat pump",
" Source from Ecodesign data or 
"&amp;IF($B$14=$N$1, "I.S. EN14825 Table 11 for air source. 
Table 15 for brine, water or DX source. 
[These table # references are from 2016 version of this standard]",
IF($B$14=$N$2,"I.S. EN12309-6 Table 14 for air source. 
Table 26 for Brine or Water source.
[These table # references are from 2014 version of this standard]",
"")))</f>
        <v xml:space="preserve"> Source from Ecodesign data or 
I.S. EN14825 Table 11 for air source. 
Table 15 for brine, water or DX source. 
[These table # references are from 2016 version of this standard]</v>
      </c>
      <c r="B58" s="397" t="s">
        <v>335</v>
      </c>
      <c r="C58" s="371"/>
      <c r="D58" s="388"/>
      <c r="E58" s="388"/>
      <c r="F58" s="388"/>
      <c r="G58" s="413"/>
      <c r="H58" s="75"/>
      <c r="I58" s="68"/>
      <c r="J58" s="61"/>
      <c r="K58" s="64"/>
      <c r="L58" s="64"/>
      <c r="M58" s="64"/>
      <c r="N58" s="32"/>
      <c r="O58" s="32"/>
      <c r="P58" s="32"/>
      <c r="Q58" s="32"/>
      <c r="R58" s="32"/>
      <c r="S58" s="32"/>
      <c r="T58" s="32"/>
    </row>
    <row r="59" spans="1:157" ht="44.1" customHeight="1" thickBot="1">
      <c r="A59" s="696"/>
      <c r="B59" s="400" t="s">
        <v>336</v>
      </c>
      <c r="C59" s="410"/>
      <c r="D59" s="411"/>
      <c r="E59" s="411"/>
      <c r="F59" s="411"/>
      <c r="G59" s="412"/>
      <c r="H59" s="71"/>
      <c r="I59" s="45"/>
      <c r="J59" s="67"/>
      <c r="K59" s="30"/>
      <c r="L59" s="30"/>
      <c r="M59" s="30"/>
      <c r="N59" s="32"/>
      <c r="O59" s="32"/>
      <c r="P59" s="32"/>
      <c r="Q59" s="32"/>
      <c r="R59" s="32"/>
      <c r="S59" s="32"/>
      <c r="T59" s="32"/>
    </row>
    <row r="60" spans="1:157" ht="30.75" customHeight="1">
      <c r="A60" s="101"/>
      <c r="B60" s="102"/>
      <c r="C60" s="72"/>
      <c r="D60" s="72"/>
      <c r="E60" s="72"/>
      <c r="F60" s="72"/>
      <c r="G60" s="72"/>
      <c r="H60" s="71"/>
      <c r="I60" s="45"/>
      <c r="J60" s="67"/>
      <c r="K60" s="30"/>
      <c r="L60" s="30"/>
      <c r="M60" s="30"/>
      <c r="N60" s="32"/>
      <c r="O60" s="32"/>
      <c r="P60" s="32"/>
      <c r="Q60" s="32"/>
      <c r="R60" s="32"/>
      <c r="S60" s="32"/>
      <c r="T60" s="32"/>
    </row>
    <row r="61" spans="1:157" ht="30.75" customHeight="1" thickBot="1">
      <c r="A61" s="101"/>
      <c r="B61" s="102"/>
      <c r="C61" s="72"/>
      <c r="D61" s="72"/>
      <c r="E61" s="72"/>
      <c r="F61" s="72"/>
      <c r="G61" s="72"/>
      <c r="H61" s="71"/>
      <c r="I61" s="45"/>
      <c r="J61" s="67"/>
      <c r="K61" s="30"/>
      <c r="L61" s="30"/>
      <c r="M61" s="30"/>
      <c r="N61" s="32"/>
      <c r="O61" s="32"/>
      <c r="P61" s="32"/>
      <c r="Q61" s="32"/>
      <c r="R61" s="32"/>
      <c r="S61" s="32"/>
      <c r="T61" s="32"/>
    </row>
    <row r="62" spans="1:157" ht="29.25" customHeight="1" thickBot="1">
      <c r="A62" s="4" t="str">
        <f>IF(N11=FALSE,"No heat Pump for Water Heating - PROCEED TO SPACE HEATING","Heat Pump for Water Heating")</f>
        <v>Heat Pump for Water Heating</v>
      </c>
      <c r="B62" s="4"/>
      <c r="C62" s="683" t="str">
        <f ca="1">IF(N11,E231,".")</f>
        <v>Valid water heat pump type selected.</v>
      </c>
      <c r="D62" s="684"/>
      <c r="E62" s="684"/>
      <c r="F62" s="684"/>
      <c r="G62" s="684"/>
      <c r="H62" s="684"/>
      <c r="I62" s="685"/>
      <c r="J62" s="46"/>
      <c r="K62" s="45"/>
      <c r="L62" s="45"/>
      <c r="M62" s="45"/>
      <c r="P62" s="32"/>
      <c r="R62" s="26" t="s">
        <v>23</v>
      </c>
    </row>
    <row r="63" spans="1:157" ht="35.25" customHeight="1">
      <c r="A63" s="35" t="s">
        <v>274</v>
      </c>
      <c r="B63" s="373"/>
      <c r="D63" s="716" t="s">
        <v>279</v>
      </c>
      <c r="E63" s="716"/>
      <c r="F63" s="716"/>
      <c r="G63" s="127" t="s">
        <v>218</v>
      </c>
      <c r="H63" s="34"/>
      <c r="I63" s="30"/>
      <c r="J63" s="33"/>
      <c r="K63" s="45"/>
      <c r="L63" s="45"/>
      <c r="M63" s="45"/>
      <c r="P63" s="32"/>
    </row>
    <row r="64" spans="1:157" ht="52.35" customHeight="1">
      <c r="A64" s="28" t="s">
        <v>278</v>
      </c>
      <c r="B64" s="374"/>
      <c r="D64" s="716" t="s">
        <v>282</v>
      </c>
      <c r="E64" s="716"/>
      <c r="F64" s="716"/>
      <c r="G64" s="128" t="s">
        <v>221</v>
      </c>
      <c r="H64" s="34"/>
      <c r="I64" s="30"/>
      <c r="J64" s="33"/>
      <c r="K64" s="30"/>
      <c r="L64" s="30"/>
      <c r="M64" s="30"/>
      <c r="N64" s="32"/>
      <c r="O64" s="32"/>
      <c r="P64" s="32"/>
      <c r="Q64" s="32"/>
      <c r="R64" s="32"/>
      <c r="S64" s="32"/>
      <c r="T64" s="32"/>
      <c r="U64" s="32"/>
      <c r="V64" s="32"/>
      <c r="W64" s="32" t="s">
        <v>337</v>
      </c>
      <c r="X64" s="32">
        <v>1.2</v>
      </c>
      <c r="Y64" s="32"/>
      <c r="Z64" s="32"/>
      <c r="AA64" s="32"/>
      <c r="AB64" s="32"/>
      <c r="AC64" s="32"/>
      <c r="AD64" s="32"/>
      <c r="AE64" s="32"/>
      <c r="AF64" s="32"/>
      <c r="AG64" s="32"/>
      <c r="AH64" s="32"/>
      <c r="AI64" s="32"/>
      <c r="AJ64" s="32"/>
      <c r="AK64" s="32"/>
      <c r="AL64" t="s">
        <v>273</v>
      </c>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row>
    <row r="65" spans="1:157" ht="139.35" customHeight="1">
      <c r="A65" s="28" t="s">
        <v>281</v>
      </c>
      <c r="B65" s="374" t="s">
        <v>205</v>
      </c>
      <c r="C65" s="112" t="str">
        <f>IF(E190="Exhaust Air Heat Pump",
IF(LEFT(B65,7)&lt;&gt;"Exhaust","Warning: Type of heat pump selected here and in DEAPEntries tab do not match. 
Check entries",""),
IF(LEFT(B65,7)="Exhaust","Warning: Type of heat pump selected here and in DEAPEntries tab do not match. 
Check entries",""))</f>
        <v/>
      </c>
      <c r="D65" s="716" t="s">
        <v>338</v>
      </c>
      <c r="E65" s="716"/>
      <c r="F65" s="716"/>
      <c r="G65" s="100">
        <f>IF(G63=$Q$2,$X$2,$X$3)</f>
        <v>1.75</v>
      </c>
      <c r="H65" s="34"/>
      <c r="I65" s="30"/>
      <c r="J65" s="33"/>
      <c r="K65" s="30"/>
      <c r="L65" s="30"/>
      <c r="M65" s="30"/>
      <c r="N65" s="32"/>
      <c r="O65" s="32"/>
      <c r="P65" s="32"/>
      <c r="Q65" s="32"/>
      <c r="R65" s="32"/>
      <c r="S65" s="32"/>
      <c r="T65" s="32"/>
      <c r="U65" s="32"/>
      <c r="V65" s="32"/>
      <c r="W65" s="32" t="s">
        <v>276</v>
      </c>
      <c r="X65" s="32">
        <v>1.1000000000000001</v>
      </c>
      <c r="Y65" s="32"/>
      <c r="Z65" s="32"/>
      <c r="AA65" s="32"/>
      <c r="AB65" s="32"/>
      <c r="AC65" s="32"/>
      <c r="AD65" s="32"/>
      <c r="AE65" s="32"/>
      <c r="AF65" s="32"/>
      <c r="AG65" s="32"/>
      <c r="AH65" s="32"/>
      <c r="AI65" s="32"/>
      <c r="AJ65" s="32"/>
      <c r="AK65" s="32"/>
      <c r="AL65" t="s">
        <v>277</v>
      </c>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row>
    <row r="66" spans="1:157" ht="147.6" customHeight="1" thickBot="1">
      <c r="A66" s="28" t="s">
        <v>285</v>
      </c>
      <c r="B66" s="374" t="s">
        <v>209</v>
      </c>
      <c r="C66" s="230" t="str">
        <f>IF($N$12,IF(B65&amp;B66&amp;G63&amp;G64&lt;&gt;B12&amp;B13&amp;G11&amp;G12,"Warning: heat pump type; temperature control; fuel; ecodesign applicability should be the same for space and water heating",""),"")</f>
        <v/>
      </c>
      <c r="D66" s="680" t="s">
        <v>286</v>
      </c>
      <c r="E66" s="680"/>
      <c r="F66" s="680"/>
      <c r="G66" s="224" t="s">
        <v>287</v>
      </c>
      <c r="H66" s="34"/>
      <c r="I66" s="30"/>
      <c r="J66" s="33"/>
      <c r="K66" s="30"/>
      <c r="L66" s="30"/>
      <c r="M66" s="30"/>
      <c r="N66" s="32"/>
      <c r="O66" s="32"/>
      <c r="P66" s="32"/>
      <c r="Q66" s="32"/>
      <c r="R66" s="32"/>
      <c r="S66" s="32"/>
      <c r="T66" s="32"/>
      <c r="U66" s="32"/>
      <c r="V66" s="32"/>
      <c r="W66" s="32" t="s">
        <v>280</v>
      </c>
      <c r="X66" s="32">
        <v>1.1000000000000001</v>
      </c>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row>
    <row r="67" spans="1:157" ht="44.25" customHeight="1">
      <c r="A67" s="28" t="s">
        <v>339</v>
      </c>
      <c r="B67" s="374" t="s">
        <v>217</v>
      </c>
      <c r="D67" s="680" t="s">
        <v>340</v>
      </c>
      <c r="E67" s="680"/>
      <c r="F67" s="680"/>
      <c r="G67" s="224" t="str">
        <f ca="1">A232&amp;E232</f>
        <v>Heat pump type:Air to Water</v>
      </c>
      <c r="H67" s="34"/>
      <c r="I67" s="416" t="s">
        <v>341</v>
      </c>
      <c r="J67" s="417" t="s">
        <v>342</v>
      </c>
      <c r="K67" s="30"/>
      <c r="L67" s="30"/>
      <c r="M67" s="30"/>
      <c r="N67" s="32"/>
      <c r="O67" s="32"/>
      <c r="P67" s="32"/>
      <c r="Q67" s="32"/>
      <c r="R67" s="32"/>
      <c r="S67" s="32"/>
      <c r="T67" s="32"/>
      <c r="U67" s="32"/>
      <c r="V67" s="32"/>
      <c r="W67" s="32" t="s">
        <v>284</v>
      </c>
      <c r="X67" s="32">
        <v>1.1000000000000001</v>
      </c>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row>
    <row r="68" spans="1:157" ht="133.35" customHeight="1" thickBot="1">
      <c r="A68" s="28" t="s">
        <v>343</v>
      </c>
      <c r="B68" s="375" t="s">
        <v>249</v>
      </c>
      <c r="D68" s="691" t="str">
        <f ca="1">IF(OR(N11&lt;&gt;TRUE,ISNUMBER(SEARCH($B68,E235))),
"",
"ERROR: Check the option selected for water heating standard. Valid option(s) for this heat pump type as follows: "&amp;CHAR(10)&amp;E235)</f>
        <v/>
      </c>
      <c r="E68" s="691"/>
      <c r="F68" s="691"/>
      <c r="G68" s="224" t="str">
        <f ca="1">A233&amp;E233</f>
        <v>Electric or GAHP:Electricity</v>
      </c>
      <c r="H68" s="34"/>
      <c r="I68" s="418">
        <f>IF($B$68&lt;&gt;"I.S. EN 14825/14511",1,1-($B$72-J68)/($B$72-$B$71))</f>
        <v>1</v>
      </c>
      <c r="J68" s="419">
        <f>MIN($B$84,IF($B$67="Same Heat Pump providing Space Heating and Domestic Hot Water",$B$25,1000))</f>
        <v>0</v>
      </c>
      <c r="K68" s="30"/>
      <c r="L68" s="30"/>
      <c r="M68" s="30"/>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row>
    <row r="69" spans="1:157" ht="87" customHeight="1">
      <c r="A69" s="47" t="s">
        <v>344</v>
      </c>
      <c r="B69" s="378">
        <f>IF(B5="Yes",(1-DEAPEntries!B8)*DEAPEntries!B9*E192/DEAPEntries!I10,
                        (1-DEAPEntries!B8)*DEAPEntries!B9*E192)</f>
        <v>0</v>
      </c>
      <c r="C69" s="414" t="s">
        <v>345</v>
      </c>
      <c r="D69" s="680" t="s">
        <v>346</v>
      </c>
      <c r="E69" s="680"/>
      <c r="F69" s="680"/>
      <c r="G69" s="224" t="str">
        <f ca="1">A234&amp;E234</f>
        <v>Ecodesign based stds:Ecodesign applies and/or ecodesign data available</v>
      </c>
      <c r="H69" s="34"/>
      <c r="I69" s="33"/>
      <c r="J69" s="33"/>
      <c r="K69" s="30"/>
      <c r="L69" s="30"/>
      <c r="M69" s="30"/>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row>
    <row r="70" spans="1:157" ht="30.75" customHeight="1">
      <c r="A70" s="48" t="s">
        <v>347</v>
      </c>
      <c r="B70" s="374" t="s">
        <v>236</v>
      </c>
      <c r="C70" s="414"/>
      <c r="D70" s="680" t="s">
        <v>348</v>
      </c>
      <c r="E70" s="680"/>
      <c r="F70" s="680"/>
      <c r="G70" s="225"/>
      <c r="H70" s="34"/>
      <c r="I70" s="30"/>
      <c r="J70" s="46"/>
      <c r="K70" s="45"/>
      <c r="L70" s="45"/>
      <c r="M70" s="45"/>
      <c r="P70" s="32"/>
    </row>
    <row r="71" spans="1:157" ht="31.5" customHeight="1">
      <c r="A71" s="48" t="s">
        <v>349</v>
      </c>
      <c r="B71" s="436">
        <v>10</v>
      </c>
      <c r="C71" s="415" t="s">
        <v>290</v>
      </c>
      <c r="D71" s="680" t="s">
        <v>350</v>
      </c>
      <c r="E71" s="680"/>
      <c r="F71" s="680"/>
      <c r="G71" s="48"/>
      <c r="H71" s="44"/>
      <c r="I71" s="46"/>
      <c r="J71" s="46"/>
      <c r="K71" s="45"/>
      <c r="L71" s="45"/>
      <c r="M71" s="45"/>
      <c r="O71" s="32"/>
      <c r="P71" s="32"/>
    </row>
    <row r="72" spans="1:157" ht="31.5" customHeight="1">
      <c r="A72" s="48" t="s">
        <v>351</v>
      </c>
      <c r="B72" s="386">
        <f>IF(OR(B70="No Hot Water Store",B70="Integral Hot Water Storage"),60,65)</f>
        <v>65</v>
      </c>
      <c r="C72" s="415" t="s">
        <v>290</v>
      </c>
      <c r="D72" s="680" t="s">
        <v>352</v>
      </c>
      <c r="E72" s="680"/>
      <c r="F72" s="680"/>
      <c r="G72" s="48"/>
      <c r="H72" s="44" t="s">
        <v>23</v>
      </c>
      <c r="I72" s="45"/>
      <c r="J72" s="46"/>
      <c r="K72" s="30"/>
      <c r="L72" s="30"/>
      <c r="M72" s="30"/>
      <c r="O72" s="32"/>
      <c r="P72" s="32"/>
      <c r="U72" s="51"/>
      <c r="V72" s="51"/>
      <c r="W72" s="51"/>
    </row>
    <row r="73" spans="1:157" ht="31.5" customHeight="1">
      <c r="A73" s="48" t="s">
        <v>113</v>
      </c>
      <c r="B73" s="437">
        <f>DEAPEntries!B12</f>
        <v>0</v>
      </c>
      <c r="C73" s="414" t="str">
        <f>DEAPEntries!E12</f>
        <v>litres</v>
      </c>
      <c r="D73" s="680" t="str">
        <f>DEAPEntries!F12</f>
        <v>Sourced from DEAP: Water Heating: options and storage (or WH tab in DEAP workbook)</v>
      </c>
      <c r="E73" s="680">
        <f>DEAPEntries!G12</f>
        <v>0</v>
      </c>
      <c r="F73" s="680">
        <f>DEAPEntries!H12</f>
        <v>0</v>
      </c>
      <c r="H73" s="44"/>
      <c r="I73" s="45"/>
      <c r="J73" s="46"/>
      <c r="K73" s="45"/>
      <c r="L73" s="45"/>
      <c r="M73" s="45"/>
      <c r="O73" s="32"/>
      <c r="P73" s="32"/>
    </row>
    <row r="74" spans="1:157" ht="30" customHeight="1">
      <c r="A74" s="50" t="s">
        <v>353</v>
      </c>
      <c r="B74" s="388" t="s">
        <v>107</v>
      </c>
      <c r="D74" s="680" t="s">
        <v>319</v>
      </c>
      <c r="E74" s="680"/>
      <c r="F74" s="680"/>
      <c r="H74" s="44"/>
      <c r="I74" s="45"/>
      <c r="J74" s="46"/>
      <c r="K74" s="30"/>
      <c r="L74" s="30"/>
      <c r="M74" s="30"/>
    </row>
    <row r="75" spans="1:157" ht="30" customHeight="1">
      <c r="A75" s="48" t="s">
        <v>354</v>
      </c>
      <c r="B75" s="385" t="s">
        <v>218</v>
      </c>
      <c r="D75" s="680" t="s">
        <v>319</v>
      </c>
      <c r="E75" s="680"/>
      <c r="F75" s="680"/>
      <c r="H75" s="44"/>
      <c r="I75" s="45"/>
      <c r="J75" s="46"/>
      <c r="K75" s="30"/>
      <c r="L75" s="30"/>
      <c r="M75" s="30"/>
    </row>
    <row r="76" spans="1:157" ht="30" customHeight="1">
      <c r="A76" s="48" t="s">
        <v>355</v>
      </c>
      <c r="B76" s="386">
        <f>VLOOKUP(B75,W2:X12,2,)</f>
        <v>1.75</v>
      </c>
      <c r="H76" s="44"/>
      <c r="I76" s="45"/>
      <c r="J76" s="46"/>
      <c r="K76" s="45"/>
      <c r="L76" s="45"/>
      <c r="M76" s="45"/>
      <c r="P76" s="32"/>
    </row>
    <row r="77" spans="1:157" ht="83.25" customHeight="1">
      <c r="A77" s="48" t="s">
        <v>356</v>
      </c>
      <c r="B77" s="390"/>
      <c r="C77" s="414" t="s">
        <v>100</v>
      </c>
      <c r="D77" s="680" t="s">
        <v>323</v>
      </c>
      <c r="E77" s="680"/>
      <c r="F77" s="680"/>
      <c r="H77" s="44"/>
      <c r="I77" s="45"/>
      <c r="J77" s="46"/>
      <c r="K77" s="45"/>
      <c r="L77" s="45"/>
      <c r="M77" s="45"/>
      <c r="P77" s="32"/>
    </row>
    <row r="78" spans="1:157" ht="29.25" customHeight="1">
      <c r="A78" s="50" t="s">
        <v>357</v>
      </c>
      <c r="B78" s="389">
        <f>IF(B74="Yes",(G65/B76)*B77,1)</f>
        <v>1</v>
      </c>
      <c r="H78" s="44"/>
      <c r="I78" s="45"/>
      <c r="J78" s="46"/>
      <c r="K78" s="30"/>
      <c r="L78" s="30"/>
      <c r="M78" s="30"/>
      <c r="P78" s="32"/>
    </row>
    <row r="79" spans="1:157" ht="31.5" customHeight="1">
      <c r="B79" s="53"/>
      <c r="H79" s="44"/>
      <c r="I79" s="45"/>
      <c r="J79" s="46"/>
      <c r="K79" s="45"/>
      <c r="L79" s="45"/>
      <c r="M79" s="45"/>
      <c r="O79" s="32"/>
      <c r="P79" s="32"/>
    </row>
    <row r="80" spans="1:157" ht="57.6" customHeight="1" thickBot="1">
      <c r="A80" s="163" t="s">
        <v>358</v>
      </c>
      <c r="D80" s="715"/>
      <c r="E80" s="715"/>
      <c r="F80" s="715"/>
      <c r="G80" s="715"/>
      <c r="H80" s="44"/>
      <c r="I80" s="45"/>
      <c r="J80" s="76"/>
      <c r="K80" s="73"/>
      <c r="L80" s="73"/>
      <c r="M80" s="73"/>
      <c r="N80" s="32"/>
      <c r="O80" s="32"/>
      <c r="P80" s="32"/>
      <c r="Q80" s="32"/>
      <c r="R80" s="32"/>
      <c r="S80" s="32"/>
      <c r="T80" s="32"/>
    </row>
    <row r="81" spans="1:21" ht="30.75" customHeight="1">
      <c r="A81" s="438" t="s">
        <v>359</v>
      </c>
      <c r="B81" s="427" t="s">
        <v>360</v>
      </c>
      <c r="C81" s="428" t="s">
        <v>23</v>
      </c>
      <c r="D81" s="682" t="s">
        <v>361</v>
      </c>
      <c r="E81" s="682"/>
      <c r="F81" s="682"/>
      <c r="H81" s="44"/>
      <c r="I81" s="45"/>
      <c r="J81" s="72"/>
      <c r="K81" s="68"/>
      <c r="L81" s="68"/>
      <c r="M81" s="68"/>
      <c r="N81" s="32"/>
      <c r="O81" s="32"/>
      <c r="P81" s="32"/>
      <c r="Q81" s="32"/>
      <c r="R81" s="32"/>
      <c r="S81" s="32"/>
      <c r="T81" s="32"/>
      <c r="U81" s="32"/>
    </row>
    <row r="82" spans="1:21" ht="30.75" customHeight="1">
      <c r="A82" s="421" t="str">
        <f>B81</f>
        <v>Water heating energy efficiency, ηwh</v>
      </c>
      <c r="B82" s="429"/>
      <c r="C82" s="428" t="str">
        <f>IF(B81="Coefficient of Performance, COP","kW/kW","%")</f>
        <v>%</v>
      </c>
      <c r="D82" s="682" t="s">
        <v>361</v>
      </c>
      <c r="E82" s="682"/>
      <c r="F82" s="682"/>
      <c r="H82" s="44"/>
      <c r="I82" s="45"/>
      <c r="J82" s="74"/>
      <c r="K82" s="66"/>
      <c r="L82" s="66"/>
      <c r="M82" s="66"/>
      <c r="N82" s="32"/>
      <c r="O82" s="32"/>
      <c r="P82" s="32"/>
      <c r="Q82" s="32"/>
      <c r="R82" s="32"/>
      <c r="S82" s="32"/>
      <c r="T82" s="32"/>
      <c r="U82" s="32"/>
    </row>
    <row r="83" spans="1:21" ht="30.75" customHeight="1">
      <c r="A83" s="421" t="s">
        <v>362</v>
      </c>
      <c r="B83" s="430">
        <f>IF(B81="Coefficient of Performance, COP",B82,IF(G63=Q3,B82/100,B82*2.5/100))</f>
        <v>0</v>
      </c>
      <c r="C83" s="428" t="s">
        <v>363</v>
      </c>
      <c r="D83" s="431"/>
      <c r="E83" s="431"/>
      <c r="F83" s="431"/>
      <c r="H83" s="44"/>
      <c r="I83" s="45"/>
      <c r="J83" s="76"/>
      <c r="K83" s="73"/>
      <c r="L83" s="73"/>
      <c r="M83" s="73"/>
      <c r="N83" s="32"/>
      <c r="O83" s="32"/>
      <c r="P83" s="32"/>
      <c r="Q83" s="32"/>
      <c r="R83" s="32"/>
      <c r="S83" s="32"/>
      <c r="T83" s="32"/>
      <c r="U83" s="32"/>
    </row>
    <row r="84" spans="1:21" ht="98.45" customHeight="1">
      <c r="A84" s="421" t="s">
        <v>364</v>
      </c>
      <c r="B84" s="429"/>
      <c r="C84" s="432" t="s">
        <v>290</v>
      </c>
      <c r="D84" s="682" t="s">
        <v>365</v>
      </c>
      <c r="E84" s="682"/>
      <c r="F84" s="682"/>
      <c r="G84" s="112" t="str">
        <f>IF(AND(B84&gt;=52,B67="Same Heat Pump providing Space Heating and Domestic Hot Water",G10="Low temperature heat pump"),"WARNING:Where I.S. EN 14825/14511 is the water heating test standard, the low temperature heat pump may be used to provide DHW, however, hot water temperature must not exceed 52 degrees in this case. ",".")</f>
        <v>.</v>
      </c>
      <c r="H84" s="44"/>
      <c r="I84" s="45"/>
      <c r="J84" s="76"/>
      <c r="K84" s="73"/>
      <c r="L84" s="73"/>
      <c r="M84" s="73"/>
      <c r="N84" s="32"/>
      <c r="O84" s="32"/>
      <c r="P84" s="32"/>
      <c r="Q84" s="32"/>
      <c r="R84" s="32"/>
      <c r="S84" s="32"/>
      <c r="T84" s="32"/>
    </row>
    <row r="85" spans="1:21" ht="65.099999999999994" customHeight="1">
      <c r="A85" s="421" t="s">
        <v>366</v>
      </c>
      <c r="B85" s="433">
        <f>IF(B65=S1,7,IF(B65=S3,10,IF(B65=S4,20,IF(B65=S5,4,0))))</f>
        <v>7</v>
      </c>
      <c r="C85" s="432" t="s">
        <v>290</v>
      </c>
      <c r="D85" s="682" t="s">
        <v>367</v>
      </c>
      <c r="E85" s="682"/>
      <c r="F85" s="682"/>
      <c r="G85" s="112"/>
      <c r="H85" s="44"/>
      <c r="I85" s="45"/>
      <c r="J85" s="76"/>
      <c r="K85" s="73"/>
      <c r="L85" s="73"/>
      <c r="M85" s="73"/>
      <c r="N85" s="32"/>
      <c r="O85" s="32"/>
      <c r="P85" s="32"/>
      <c r="Q85" s="32"/>
      <c r="R85" s="32"/>
      <c r="S85" s="32"/>
      <c r="T85" s="32"/>
    </row>
    <row r="86" spans="1:21" ht="30.75" customHeight="1">
      <c r="A86" s="421" t="s">
        <v>368</v>
      </c>
      <c r="B86" s="429"/>
      <c r="C86" s="428" t="s">
        <v>369</v>
      </c>
      <c r="D86" s="682" t="s">
        <v>370</v>
      </c>
      <c r="E86" s="682"/>
      <c r="F86" s="682"/>
      <c r="H86" s="44"/>
      <c r="I86" s="45"/>
      <c r="J86" s="72"/>
      <c r="K86" s="68"/>
      <c r="L86" s="68"/>
      <c r="M86" s="68"/>
      <c r="N86" s="32"/>
      <c r="O86" s="32"/>
      <c r="P86" s="32"/>
      <c r="Q86" s="32"/>
      <c r="R86" s="32"/>
      <c r="S86" s="32"/>
      <c r="U86" s="32"/>
    </row>
    <row r="87" spans="1:21" ht="44.45" customHeight="1">
      <c r="A87" s="424" t="s">
        <v>371</v>
      </c>
      <c r="B87" s="434" t="s">
        <v>254</v>
      </c>
      <c r="C87" s="428"/>
      <c r="D87" s="682" t="s">
        <v>370</v>
      </c>
      <c r="E87" s="682"/>
      <c r="F87" s="682"/>
      <c r="G87" s="112" t="str">
        <f>IF(AND(B87&lt;&gt;"",$B$68="I.S. EN 14825/14511"),"Note: 'load profile', 'standby heat loss' and 'volume of DHW accounted for in test' are irrelevant for test data based on I.S. EN 14825/14511.","")</f>
        <v/>
      </c>
      <c r="H87" s="44"/>
      <c r="I87" s="45"/>
      <c r="J87" s="74"/>
      <c r="K87" s="66"/>
      <c r="L87" s="66"/>
      <c r="M87" s="66"/>
      <c r="N87" s="32"/>
      <c r="O87" s="32"/>
      <c r="P87" s="32"/>
      <c r="Q87" s="32"/>
      <c r="R87" s="32"/>
      <c r="S87" s="32"/>
    </row>
    <row r="88" spans="1:21" ht="45.6" customHeight="1">
      <c r="A88" s="424" t="s">
        <v>372</v>
      </c>
      <c r="B88" s="434"/>
      <c r="C88" s="428" t="s">
        <v>373</v>
      </c>
      <c r="D88" s="682" t="s">
        <v>374</v>
      </c>
      <c r="E88" s="682"/>
      <c r="F88" s="682"/>
      <c r="G88" s="112" t="str">
        <f>IF(AND(B88&lt;&gt;"",$B$68="I.S. EN 14825/14511"),"Note: 'load profile', 'standby heat loss' and 'volume of DHW accounted for in test' are irrelevant for test data based on I.S. EN 14825/14511.","")</f>
        <v/>
      </c>
      <c r="H88" s="44"/>
      <c r="I88" s="45"/>
      <c r="J88" s="76"/>
      <c r="K88" s="45"/>
      <c r="L88" s="45"/>
      <c r="M88" s="45"/>
      <c r="N88" s="32"/>
      <c r="O88" s="32"/>
      <c r="P88" s="32"/>
      <c r="Q88" s="32"/>
      <c r="R88" s="32"/>
      <c r="S88" s="32"/>
    </row>
    <row r="89" spans="1:21" ht="54.6" customHeight="1" thickBot="1">
      <c r="A89" s="425" t="s">
        <v>375</v>
      </c>
      <c r="B89" s="435"/>
      <c r="C89" s="428" t="s">
        <v>376</v>
      </c>
      <c r="D89" s="682" t="s">
        <v>361</v>
      </c>
      <c r="E89" s="682"/>
      <c r="F89" s="682"/>
      <c r="G89" s="112" t="str">
        <f>IF(AND(B89&lt;&gt;"",$B$68="I.S. EN 14825/14511"),"Note: 'load profile', 'standby heat loss' and 'volume of DHW accounted for in test' are irrelevant for test data based on I.S. EN 14825/14511.","")</f>
        <v/>
      </c>
      <c r="H89" s="44"/>
      <c r="I89" s="45"/>
      <c r="J89" s="76"/>
      <c r="K89" s="45"/>
      <c r="L89" s="45"/>
      <c r="M89" s="45"/>
      <c r="N89" s="32"/>
      <c r="O89" s="32"/>
      <c r="P89" s="32"/>
      <c r="Q89" s="32"/>
      <c r="R89" s="32"/>
      <c r="S89" s="32"/>
    </row>
    <row r="90" spans="1:21" ht="48" customHeight="1">
      <c r="A90" s="518" t="s">
        <v>377</v>
      </c>
      <c r="D90" s="715" t="str">
        <f ca="1">IF(B5="Yes","NOTE: Assessor must verify that the installed storage volume is greater than used in test results",IF(E219&gt;0,E221,IF(E220&gt;0,E222,"")))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E90" s="715"/>
      <c r="F90" s="715"/>
      <c r="G90" s="715"/>
      <c r="H90" s="44"/>
      <c r="I90" s="45"/>
      <c r="J90" s="76"/>
      <c r="K90" s="30"/>
      <c r="L90" s="30"/>
      <c r="M90" s="30"/>
      <c r="N90" s="32"/>
      <c r="O90" s="32"/>
      <c r="P90" s="32"/>
      <c r="Q90" s="32"/>
      <c r="R90" s="32"/>
      <c r="S90" s="32"/>
    </row>
    <row r="91" spans="1:21" ht="30.75" customHeight="1" thickBot="1">
      <c r="A91" s="59" t="s">
        <v>378</v>
      </c>
      <c r="H91" s="44"/>
      <c r="I91" s="45"/>
      <c r="J91" s="70"/>
      <c r="K91" s="68"/>
      <c r="L91" s="68"/>
      <c r="M91" s="68"/>
      <c r="N91" s="32"/>
      <c r="O91" s="32"/>
      <c r="P91" s="32"/>
      <c r="Q91" s="32"/>
      <c r="R91" s="32"/>
      <c r="S91" s="32"/>
      <c r="T91" s="32"/>
    </row>
    <row r="92" spans="1:21" ht="30.75" customHeight="1">
      <c r="A92" s="402" t="s">
        <v>379</v>
      </c>
      <c r="B92" s="439" t="s">
        <v>134</v>
      </c>
      <c r="C92" s="414"/>
      <c r="H92" s="44"/>
      <c r="I92" s="45"/>
      <c r="J92" s="72"/>
      <c r="K92" s="68"/>
      <c r="L92" s="68"/>
      <c r="M92" s="68"/>
      <c r="N92" s="32"/>
      <c r="O92" s="32"/>
      <c r="P92" s="32"/>
      <c r="Q92" s="32"/>
      <c r="R92" s="32"/>
      <c r="S92" s="32"/>
      <c r="T92" s="32"/>
    </row>
    <row r="93" spans="1:21" ht="30.75" customHeight="1">
      <c r="A93" s="403" t="s">
        <v>380</v>
      </c>
      <c r="B93" s="422">
        <v>3.33</v>
      </c>
      <c r="C93" s="414" t="s">
        <v>363</v>
      </c>
      <c r="D93" s="680" t="s">
        <v>381</v>
      </c>
      <c r="E93" s="680"/>
      <c r="F93" s="680"/>
      <c r="H93" s="44"/>
      <c r="I93" s="45"/>
      <c r="J93" s="72"/>
      <c r="K93" s="68"/>
      <c r="L93" s="68"/>
      <c r="M93" s="68"/>
      <c r="N93" s="32"/>
      <c r="O93" s="32"/>
      <c r="P93" s="32"/>
      <c r="Q93" s="32"/>
      <c r="R93" s="32"/>
      <c r="S93" s="32"/>
      <c r="T93" s="32"/>
    </row>
    <row r="94" spans="1:21" ht="30.75" customHeight="1">
      <c r="A94" s="421" t="s">
        <v>382</v>
      </c>
      <c r="B94" s="398" t="s">
        <v>134</v>
      </c>
      <c r="C94" s="414"/>
      <c r="D94" s="680" t="s">
        <v>383</v>
      </c>
      <c r="E94" s="680"/>
      <c r="F94" s="680"/>
      <c r="H94" s="44"/>
      <c r="I94" s="45"/>
      <c r="J94" s="72"/>
      <c r="K94" s="68"/>
      <c r="L94" s="68"/>
      <c r="M94" s="68"/>
      <c r="N94" s="32"/>
      <c r="O94" s="32"/>
      <c r="P94" s="32"/>
      <c r="Q94" s="32"/>
      <c r="R94" s="32"/>
      <c r="S94" s="32"/>
      <c r="T94" s="32"/>
      <c r="U94" s="32"/>
    </row>
    <row r="95" spans="1:21" ht="30.75" customHeight="1">
      <c r="A95" s="421" t="s">
        <v>384</v>
      </c>
      <c r="B95" s="398" t="s">
        <v>107</v>
      </c>
      <c r="C95" s="440" t="s">
        <v>23</v>
      </c>
      <c r="D95" s="680" t="s">
        <v>383</v>
      </c>
      <c r="E95" s="680"/>
      <c r="F95" s="680"/>
      <c r="H95" s="44"/>
      <c r="I95" s="45"/>
      <c r="J95" s="74"/>
      <c r="K95" s="66"/>
      <c r="L95" s="66"/>
      <c r="M95" s="66"/>
      <c r="N95" s="32"/>
      <c r="O95" s="32"/>
      <c r="P95" s="32"/>
      <c r="Q95" s="32"/>
      <c r="R95" s="32"/>
      <c r="S95" s="32"/>
      <c r="T95" s="32"/>
      <c r="U95" s="32"/>
    </row>
    <row r="96" spans="1:21" ht="30.75" customHeight="1" thickBot="1">
      <c r="A96" s="425" t="str">
        <f>IF(B72=65,"Does heat pump reach a flow temperature of &gt;=65oC","Does heat pump reach a flow temperature of &gt;=60oC")</f>
        <v>Does heat pump reach a flow temperature of &gt;=65oC</v>
      </c>
      <c r="B96" s="395" t="s">
        <v>134</v>
      </c>
      <c r="C96" s="440" t="s">
        <v>23</v>
      </c>
      <c r="D96" s="680" t="s">
        <v>385</v>
      </c>
      <c r="E96" s="680"/>
      <c r="F96" s="680"/>
      <c r="H96" s="44"/>
      <c r="I96" s="45"/>
      <c r="J96" s="76"/>
      <c r="K96" s="73"/>
      <c r="L96" s="73"/>
      <c r="M96" s="73"/>
      <c r="N96" s="32"/>
      <c r="O96" s="32"/>
      <c r="P96" s="32"/>
      <c r="Q96" s="32"/>
      <c r="R96" s="32"/>
      <c r="S96" s="32"/>
      <c r="T96" s="32"/>
    </row>
    <row r="97" spans="1:20" ht="30.75" customHeight="1">
      <c r="H97" s="44"/>
      <c r="I97" s="45"/>
      <c r="J97" s="76"/>
      <c r="K97" s="73"/>
      <c r="L97" s="73"/>
      <c r="M97" s="73"/>
      <c r="N97" s="32"/>
      <c r="O97" s="32"/>
      <c r="P97" s="32"/>
      <c r="Q97" s="32"/>
      <c r="R97" s="32"/>
      <c r="S97" s="32"/>
      <c r="T97" s="32"/>
    </row>
    <row r="98" spans="1:20" ht="33" customHeight="1">
      <c r="H98" s="44"/>
      <c r="I98" s="45"/>
      <c r="J98" s="46"/>
      <c r="K98" s="30"/>
      <c r="L98" s="30"/>
      <c r="M98" s="30"/>
      <c r="N98" s="32"/>
      <c r="O98" s="32"/>
      <c r="P98" s="32"/>
      <c r="Q98" s="32"/>
      <c r="R98" s="32"/>
      <c r="S98" s="32"/>
    </row>
    <row r="99" spans="1:20" ht="33" customHeight="1" thickBot="1">
      <c r="A99" s="59" t="s">
        <v>386</v>
      </c>
      <c r="H99" s="44"/>
      <c r="I99" s="45"/>
      <c r="J99" s="46"/>
      <c r="K99" s="30"/>
      <c r="L99" s="30"/>
      <c r="M99" s="30"/>
    </row>
    <row r="100" spans="1:20" ht="33" customHeight="1">
      <c r="A100" s="420" t="s">
        <v>387</v>
      </c>
      <c r="B100" s="441">
        <v>3.2</v>
      </c>
      <c r="C100" s="414" t="s">
        <v>363</v>
      </c>
      <c r="D100" s="680" t="s">
        <v>388</v>
      </c>
      <c r="E100" s="680"/>
      <c r="F100" s="680"/>
      <c r="H100" s="44"/>
      <c r="I100" s="45"/>
      <c r="J100" s="60"/>
      <c r="K100" s="45"/>
      <c r="L100" s="45"/>
      <c r="M100" s="30"/>
      <c r="N100" s="26" t="s">
        <v>23</v>
      </c>
    </row>
    <row r="101" spans="1:20" ht="37.5" customHeight="1">
      <c r="A101" s="421" t="s">
        <v>364</v>
      </c>
      <c r="B101" s="422">
        <v>54</v>
      </c>
      <c r="C101" s="415" t="s">
        <v>290</v>
      </c>
      <c r="D101" s="680" t="s">
        <v>389</v>
      </c>
      <c r="E101" s="680"/>
      <c r="F101" s="680"/>
      <c r="H101" s="44"/>
      <c r="I101" s="45"/>
      <c r="J101" s="46"/>
      <c r="K101" s="45"/>
      <c r="L101" s="45"/>
      <c r="M101" s="45"/>
      <c r="N101" s="26" t="s">
        <v>23</v>
      </c>
    </row>
    <row r="102" spans="1:20" ht="31.5" customHeight="1" thickBot="1">
      <c r="A102" s="425" t="s">
        <v>390</v>
      </c>
      <c r="B102" s="426">
        <v>7</v>
      </c>
      <c r="C102" s="414" t="s">
        <v>369</v>
      </c>
      <c r="D102" s="680" t="s">
        <v>388</v>
      </c>
      <c r="E102" s="680"/>
      <c r="F102" s="680"/>
      <c r="H102" s="44"/>
      <c r="I102" s="45"/>
      <c r="J102" s="46"/>
      <c r="K102" s="45"/>
      <c r="L102" s="45"/>
      <c r="M102" s="45"/>
    </row>
    <row r="103" spans="1:20" ht="31.5" customHeight="1" thickBot="1">
      <c r="H103" s="44"/>
      <c r="I103" s="45"/>
      <c r="J103" s="46"/>
      <c r="K103" s="45"/>
      <c r="L103" s="45"/>
      <c r="M103" s="45"/>
    </row>
    <row r="104" spans="1:20" ht="31.5" customHeight="1" thickBot="1">
      <c r="A104" s="43" t="s">
        <v>391</v>
      </c>
      <c r="B104" s="56"/>
      <c r="C104" s="56"/>
      <c r="D104" s="31"/>
      <c r="E104" s="31"/>
      <c r="F104" s="31"/>
      <c r="G104" s="31"/>
      <c r="H104" s="31"/>
      <c r="I104" s="31"/>
      <c r="J104" s="46"/>
      <c r="K104" s="45"/>
      <c r="L104" s="45"/>
      <c r="M104" s="45"/>
    </row>
    <row r="105" spans="1:20" ht="31.5" customHeight="1" thickBot="1">
      <c r="A105" s="77" t="s">
        <v>392</v>
      </c>
      <c r="H105" s="44"/>
      <c r="I105" s="45"/>
      <c r="J105" s="46"/>
      <c r="K105" s="45"/>
      <c r="L105" s="45"/>
      <c r="M105" s="45"/>
    </row>
    <row r="106" spans="1:20" ht="31.5" customHeight="1">
      <c r="A106" s="442" t="s">
        <v>393</v>
      </c>
      <c r="B106" s="443" t="e">
        <f ca="1">IF(OR(B14=N1,B14=N2, B14=N3),E201,B93)</f>
        <v>#VALUE!</v>
      </c>
      <c r="C106" s="414" t="s">
        <v>100</v>
      </c>
      <c r="D106" s="681"/>
      <c r="E106" s="681"/>
      <c r="F106" s="681"/>
      <c r="G106" s="414" t="s">
        <v>23</v>
      </c>
      <c r="H106" s="444"/>
      <c r="I106" s="445"/>
      <c r="J106" s="46"/>
      <c r="K106" s="45"/>
      <c r="L106" s="45"/>
      <c r="M106" s="45"/>
    </row>
    <row r="107" spans="1:20" ht="31.5" customHeight="1">
      <c r="A107" s="446" t="s">
        <v>394</v>
      </c>
      <c r="B107" s="447">
        <f>IF(OR(B14=N1,B14=N2, B14=N3),1,IF(B25=35,1,IF(B25&lt;50,0.85,IF(B94="Yes",0.75,0.7))))</f>
        <v>1</v>
      </c>
      <c r="C107" s="414"/>
      <c r="D107" s="681"/>
      <c r="E107" s="681"/>
      <c r="F107" s="681"/>
      <c r="G107" s="414"/>
      <c r="H107" s="444"/>
      <c r="I107" s="445"/>
      <c r="J107" s="46"/>
      <c r="K107" s="45"/>
      <c r="L107" s="45"/>
      <c r="M107" s="45"/>
    </row>
    <row r="108" spans="1:20" ht="31.5" customHeight="1">
      <c r="A108" s="446" t="s">
        <v>395</v>
      </c>
      <c r="B108" s="448" t="e">
        <f ca="1">IF(OR(B68=N5,B68=N7, B68=N8),E213,IF(B68="I.S. EN 255-3",E217,E218))</f>
        <v>#DIV/0!</v>
      </c>
      <c r="C108" s="414" t="s">
        <v>100</v>
      </c>
      <c r="D108" s="681"/>
      <c r="E108" s="681"/>
      <c r="F108" s="681"/>
      <c r="G108" s="414"/>
      <c r="H108" s="444"/>
      <c r="I108" s="445"/>
      <c r="J108" s="60"/>
      <c r="K108" s="45"/>
      <c r="L108" s="45"/>
      <c r="M108" s="45"/>
    </row>
    <row r="109" spans="1:20" ht="31.5" customHeight="1" thickBot="1">
      <c r="A109" s="449" t="s">
        <v>396</v>
      </c>
      <c r="B109" s="450">
        <f>IF(B68="I.S. EN 14511",IF(AND(B95="No",B96="Yes"),0.7,1),1)</f>
        <v>1</v>
      </c>
      <c r="C109" s="414"/>
      <c r="D109" s="681"/>
      <c r="E109" s="681"/>
      <c r="F109" s="681"/>
      <c r="G109" s="414"/>
      <c r="H109" s="444"/>
      <c r="I109" s="445"/>
      <c r="J109" s="60"/>
      <c r="K109" s="45"/>
      <c r="L109" s="45"/>
      <c r="M109" s="45"/>
    </row>
    <row r="110" spans="1:20" ht="16.5" thickBot="1">
      <c r="A110" s="414"/>
      <c r="B110" s="414"/>
      <c r="C110" s="414"/>
      <c r="D110" s="423"/>
      <c r="E110" s="423"/>
      <c r="F110" s="423"/>
      <c r="G110" s="445"/>
      <c r="H110" s="444"/>
      <c r="I110" s="445"/>
      <c r="J110" s="60"/>
      <c r="K110" s="45"/>
      <c r="L110" s="45"/>
      <c r="M110" s="45"/>
    </row>
    <row r="111" spans="1:20" ht="31.5" customHeight="1" thickBot="1">
      <c r="A111" s="451" t="s">
        <v>397</v>
      </c>
      <c r="B111" s="452">
        <f ca="1">MAX(E207,0)</f>
        <v>1</v>
      </c>
      <c r="C111" s="423" t="s">
        <v>398</v>
      </c>
      <c r="D111" s="423"/>
      <c r="E111" s="423"/>
      <c r="F111" s="423"/>
      <c r="G111" s="453" t="s">
        <v>399</v>
      </c>
      <c r="H111" s="444"/>
      <c r="I111" s="445"/>
      <c r="J111" s="60"/>
      <c r="K111" s="45"/>
      <c r="L111" s="45"/>
      <c r="M111" s="45"/>
    </row>
    <row r="112" spans="1:20" ht="36.75" customHeight="1" thickBot="1">
      <c r="A112" s="451" t="s">
        <v>400</v>
      </c>
      <c r="B112" s="452">
        <f ca="1">MAX(E216,0)</f>
        <v>1</v>
      </c>
      <c r="C112" s="423" t="s">
        <v>398</v>
      </c>
      <c r="D112" s="423"/>
      <c r="E112" s="423"/>
      <c r="F112" s="423"/>
      <c r="G112" s="454">
        <f>IF(OR(LEFT(B12,7)="Exhaust",LEFT(B65,7)="Exhaust"),E195,0)</f>
        <v>0</v>
      </c>
      <c r="H112" s="444"/>
      <c r="I112" s="445"/>
      <c r="J112" s="46"/>
      <c r="K112" s="45"/>
      <c r="L112" s="45"/>
      <c r="M112" s="45"/>
    </row>
    <row r="113" spans="1:14">
      <c r="A113" s="414"/>
      <c r="B113" s="414"/>
      <c r="C113" s="414"/>
      <c r="D113" s="423"/>
      <c r="E113" s="423"/>
      <c r="F113" s="423"/>
      <c r="G113" s="453" t="s">
        <v>401</v>
      </c>
      <c r="H113" s="444"/>
      <c r="I113" s="445"/>
      <c r="J113" s="46"/>
      <c r="K113" s="45"/>
      <c r="L113" s="45"/>
      <c r="M113" s="45"/>
    </row>
    <row r="114" spans="1:14" ht="16.5" thickBot="1">
      <c r="A114" s="414"/>
      <c r="B114" s="455"/>
      <c r="C114" s="414"/>
      <c r="D114" s="423"/>
      <c r="E114" s="423"/>
      <c r="F114" s="423"/>
      <c r="G114" s="456" t="b">
        <f>IF(E193="No",FALSE,TRUE)</f>
        <v>0</v>
      </c>
      <c r="H114" s="444"/>
      <c r="I114" s="445"/>
      <c r="J114" s="46"/>
      <c r="K114" s="45"/>
      <c r="L114" s="45"/>
      <c r="M114" s="45"/>
    </row>
    <row r="115" spans="1:14" ht="53.45" customHeight="1">
      <c r="A115" s="442" t="s">
        <v>402</v>
      </c>
      <c r="B115" s="457" t="e">
        <f ca="1">IF(B14="I.S. EN 14511",1,E203/E199)</f>
        <v>#VALUE!</v>
      </c>
      <c r="C115" s="458" t="s">
        <v>403</v>
      </c>
      <c r="D115" s="459" t="e">
        <f ca="1">IF(B14=N4,IF(B5="No",B17,B17*B8/B7),E203)</f>
        <v>#VALUE!</v>
      </c>
      <c r="E115" s="423" t="s">
        <v>404</v>
      </c>
      <c r="F115" s="460" t="e">
        <f ca="1">IF(B14="I.S. EN 14511",(B106*B107)*100,E204*100)</f>
        <v>#VALUE!</v>
      </c>
      <c r="G115" s="414"/>
      <c r="H115" s="444"/>
      <c r="I115" s="445"/>
      <c r="J115" s="46"/>
      <c r="K115" s="45"/>
      <c r="L115" s="45"/>
      <c r="M115" s="45"/>
    </row>
    <row r="116" spans="1:14" ht="45" customHeight="1" thickBot="1">
      <c r="A116" s="449" t="s">
        <v>405</v>
      </c>
      <c r="B116" s="461">
        <f ca="1">IF(OR(B68=N5,B68=N7, B68=N8),1-E210,1)</f>
        <v>-0.18181818181818188</v>
      </c>
      <c r="C116" s="458" t="s">
        <v>406</v>
      </c>
      <c r="D116" s="462" t="e">
        <f ca="1">IF(OR(B68=N5,B68=N7,B68=N8),E215,IF(B5="No",B69,B69*B8/B7))</f>
        <v>#DIV/0!</v>
      </c>
      <c r="E116" s="423" t="s">
        <v>407</v>
      </c>
      <c r="F116" s="463">
        <f ca="1">IF(OR(B68=N5,B68=N7,B68=N8),E209*100,(B108*B109)*100)</f>
        <v>0</v>
      </c>
      <c r="G116" s="414"/>
      <c r="H116" s="444"/>
      <c r="I116" s="445"/>
      <c r="J116" s="46"/>
      <c r="K116" s="30"/>
      <c r="L116" s="30"/>
      <c r="M116" s="30"/>
    </row>
    <row r="117" spans="1:14" ht="30.75" customHeight="1" thickBot="1">
      <c r="A117" s="414"/>
      <c r="B117" s="414"/>
      <c r="C117" s="414"/>
      <c r="D117" s="423"/>
      <c r="E117" s="423"/>
      <c r="F117" s="423"/>
      <c r="G117" s="414"/>
      <c r="H117" s="444"/>
      <c r="I117" s="445"/>
      <c r="J117" s="46"/>
      <c r="K117" s="30"/>
      <c r="L117" s="30"/>
      <c r="M117" s="30"/>
    </row>
    <row r="118" spans="1:14" ht="31.5" customHeight="1" thickBot="1">
      <c r="A118" s="464" t="s">
        <v>408</v>
      </c>
      <c r="B118" s="465"/>
      <c r="C118" s="465"/>
      <c r="D118" s="466"/>
      <c r="E118" s="466"/>
      <c r="F118" s="466"/>
      <c r="G118" s="466"/>
      <c r="H118" s="466"/>
      <c r="I118" s="466"/>
      <c r="J118" s="46"/>
      <c r="K118" s="45"/>
      <c r="L118" s="45"/>
      <c r="M118" s="45"/>
    </row>
    <row r="119" spans="1:14" ht="18.75" customHeight="1" thickBot="1">
      <c r="A119" s="414"/>
      <c r="B119" s="414"/>
      <c r="C119" s="414"/>
      <c r="D119" s="423"/>
      <c r="E119" s="423"/>
      <c r="F119" s="423"/>
      <c r="G119" s="414"/>
      <c r="H119" s="444"/>
      <c r="I119" s="445"/>
      <c r="J119" s="60"/>
      <c r="K119" s="45"/>
      <c r="L119" s="45"/>
      <c r="M119" s="45"/>
      <c r="N119" s="55" t="s">
        <v>23</v>
      </c>
    </row>
    <row r="120" spans="1:14" ht="43.35" customHeight="1">
      <c r="A120" s="467" t="s">
        <v>409</v>
      </c>
      <c r="B120" s="468" t="s">
        <v>410</v>
      </c>
      <c r="C120" s="469" t="s">
        <v>411</v>
      </c>
      <c r="D120" s="470" t="s">
        <v>412</v>
      </c>
      <c r="E120" s="471" t="s">
        <v>413</v>
      </c>
      <c r="F120" s="472" t="s">
        <v>414</v>
      </c>
      <c r="G120" s="414"/>
      <c r="H120" s="444"/>
      <c r="I120" s="445"/>
      <c r="J120" s="58"/>
      <c r="K120" s="57"/>
      <c r="L120" s="57"/>
      <c r="M120" s="57"/>
    </row>
    <row r="121" spans="1:14" ht="30.75" customHeight="1">
      <c r="A121" s="473" t="s">
        <v>202</v>
      </c>
      <c r="B121" s="474" t="e">
        <f ca="1">F115</f>
        <v>#VALUE!</v>
      </c>
      <c r="C121" s="475" t="e">
        <f ca="1">IF($B$5="No",D115,D115*$B$7/$B$8)</f>
        <v>#VALUE!</v>
      </c>
      <c r="D121" s="475" t="e">
        <f ca="1">100*C121/B121</f>
        <v>#VALUE!</v>
      </c>
      <c r="E121" s="476" t="e">
        <f ca="1">(C121-D121)</f>
        <v>#VALUE!</v>
      </c>
      <c r="F121" s="477" t="e">
        <f ca="1">IF(OR(B14=N1,B14=N2,B14=N3),
IF($B$5="No",E121-E205,
             B8*E121/B7-E205),"N/A")</f>
        <v>#VALUE!</v>
      </c>
      <c r="G121" s="478"/>
      <c r="H121" s="423"/>
      <c r="I121" s="479"/>
      <c r="J121" s="46"/>
      <c r="K121" s="45"/>
      <c r="L121" s="45"/>
      <c r="M121" s="45"/>
    </row>
    <row r="122" spans="1:14" ht="30.75" customHeight="1" thickBot="1">
      <c r="A122" s="480" t="s">
        <v>415</v>
      </c>
      <c r="B122" s="481">
        <f ca="1">F116</f>
        <v>0</v>
      </c>
      <c r="C122" s="482" t="e">
        <f ca="1">IF($B$5="No",D116,D116*$B$7/$B$8)</f>
        <v>#DIV/0!</v>
      </c>
      <c r="D122" s="482" t="e">
        <f ca="1">100*C122/B122</f>
        <v>#DIV/0!</v>
      </c>
      <c r="E122" s="483" t="e">
        <f ca="1">(C122-D122)</f>
        <v>#DIV/0!</v>
      </c>
      <c r="F122" s="484" t="e">
        <f ca="1">IF(OR(B68=N5,B68=N7,B68=N8),
IF(B5="No",E122-E214,
       B8*E122/B7-E214),
"N/A")</f>
        <v>#DIV/0!</v>
      </c>
      <c r="G122" s="478"/>
      <c r="H122" s="423"/>
      <c r="I122" s="479"/>
      <c r="J122" s="46"/>
      <c r="K122" s="45"/>
      <c r="L122" s="45"/>
      <c r="M122" s="45"/>
    </row>
    <row r="123" spans="1:14" ht="38.450000000000003" customHeight="1">
      <c r="A123" s="485" t="s">
        <v>416</v>
      </c>
      <c r="B123" s="468" t="s">
        <v>410</v>
      </c>
      <c r="C123" s="469" t="s">
        <v>411</v>
      </c>
      <c r="D123" s="470" t="s">
        <v>412</v>
      </c>
      <c r="E123" s="471" t="s">
        <v>413</v>
      </c>
      <c r="F123" s="486" t="s">
        <v>417</v>
      </c>
      <c r="G123" s="414"/>
      <c r="H123" s="423"/>
      <c r="I123" s="479"/>
      <c r="J123" s="46"/>
      <c r="K123" s="45"/>
      <c r="L123" s="45"/>
      <c r="M123" s="45"/>
    </row>
    <row r="124" spans="1:14" ht="30.75" customHeight="1">
      <c r="A124" s="473" t="s">
        <v>202</v>
      </c>
      <c r="B124" s="474" t="e">
        <f ca="1">B106*100</f>
        <v>#VALUE!</v>
      </c>
      <c r="C124" s="475">
        <f ca="1">IF($B$5="No",E199,E199*$B$7/$B$8)</f>
        <v>0</v>
      </c>
      <c r="D124" s="475" t="e">
        <f ca="1">100*C124/B124</f>
        <v>#VALUE!</v>
      </c>
      <c r="E124" s="476" t="e">
        <f ca="1">(C124-D124)</f>
        <v>#VALUE!</v>
      </c>
      <c r="F124" s="477" t="e">
        <f ca="1">IF(OR(B14=N1,B14=N2,B14=N3),
-E124+
IF(B5="No",(E199-E200),
(B7/B8)*((E199-E200))),
"N/A")</f>
        <v>#VALUE!</v>
      </c>
      <c r="G124" s="414"/>
      <c r="H124" s="423"/>
      <c r="I124" s="479"/>
      <c r="J124" s="46"/>
      <c r="K124" s="45"/>
      <c r="L124" s="45"/>
      <c r="M124" s="45"/>
    </row>
    <row r="125" spans="1:14" ht="30.75" customHeight="1" thickBot="1">
      <c r="A125" s="480" t="s">
        <v>415</v>
      </c>
      <c r="B125" s="481" t="e">
        <f ca="1">B108*100</f>
        <v>#DIV/0!</v>
      </c>
      <c r="C125" s="475">
        <f ca="1">IF($B$5="No",E211,E211*$B$7/$B$8)</f>
        <v>0</v>
      </c>
      <c r="D125" s="482" t="e">
        <f ca="1">100*C125/B125</f>
        <v>#DIV/0!</v>
      </c>
      <c r="E125" s="483" t="e">
        <f ca="1">(C125-D125)</f>
        <v>#DIV/0!</v>
      </c>
      <c r="F125" s="484" t="e">
        <f ca="1">IF(OR(B68=N5,B68=N7,B68=N8),
-E125+
IF(B5="no",(E211-E212),
(B7/B8)*(E211-E212)),
"N/A")</f>
        <v>#DIV/0!</v>
      </c>
      <c r="G125" s="414"/>
      <c r="H125" s="423"/>
      <c r="I125" s="479"/>
      <c r="J125" s="46"/>
      <c r="K125" s="45"/>
      <c r="L125" s="45"/>
      <c r="M125" s="45"/>
    </row>
    <row r="126" spans="1:14" ht="71.45" customHeight="1">
      <c r="A126" s="467" t="s">
        <v>418</v>
      </c>
      <c r="B126" s="487" t="s">
        <v>419</v>
      </c>
      <c r="C126" s="487" t="s">
        <v>420</v>
      </c>
      <c r="D126" s="487" t="s">
        <v>421</v>
      </c>
      <c r="E126" s="487" t="s">
        <v>422</v>
      </c>
      <c r="F126" s="488" t="s">
        <v>423</v>
      </c>
      <c r="G126" s="489" t="s">
        <v>424</v>
      </c>
      <c r="H126" s="489" t="s">
        <v>425</v>
      </c>
      <c r="I126" s="489" t="s">
        <v>426</v>
      </c>
      <c r="J126" s="46"/>
      <c r="K126" s="45"/>
      <c r="L126" s="45"/>
      <c r="M126" s="45"/>
    </row>
    <row r="127" spans="1:14" ht="38.450000000000003" customHeight="1">
      <c r="A127" s="473" t="s">
        <v>202</v>
      </c>
      <c r="B127" s="490" t="e">
        <f ca="1">E121-E124</f>
        <v>#VALUE!</v>
      </c>
      <c r="C127" s="490" t="e">
        <f ca="1">-(1-$B$111)*E121</f>
        <v>#VALUE!</v>
      </c>
      <c r="D127" s="649">
        <v>0</v>
      </c>
      <c r="E127" s="490">
        <f>IF($G$114,-E124-B127-C127,0)</f>
        <v>0</v>
      </c>
      <c r="F127" s="491" t="e">
        <f ca="1">SUM(B127:E127)</f>
        <v>#VALUE!</v>
      </c>
      <c r="G127" s="492" t="e">
        <f ca="1">E124</f>
        <v>#VALUE!</v>
      </c>
      <c r="H127" s="492" t="e">
        <f ca="1">IF($G$114=TRUE,0,E121*B111)</f>
        <v>#VALUE!</v>
      </c>
      <c r="I127" s="493" t="e">
        <f ca="1">G127+F127-H127</f>
        <v>#VALUE!</v>
      </c>
      <c r="J127" s="46"/>
      <c r="K127" s="45"/>
      <c r="L127" s="45"/>
      <c r="M127" s="45"/>
    </row>
    <row r="128" spans="1:14" ht="16.5" thickBot="1">
      <c r="A128" s="480" t="s">
        <v>415</v>
      </c>
      <c r="B128" s="494" t="e">
        <f ca="1">E122-E125</f>
        <v>#DIV/0!</v>
      </c>
      <c r="C128" s="647" t="e">
        <f ca="1">-(1-$B$112)*E122</f>
        <v>#DIV/0!</v>
      </c>
      <c r="D128" s="490">
        <v>0</v>
      </c>
      <c r="E128" s="648">
        <f>IF($G$114,-E125-B128-C128,0)</f>
        <v>0</v>
      </c>
      <c r="F128" s="653" t="e">
        <f ca="1">SUM(B128:E128)</f>
        <v>#DIV/0!</v>
      </c>
      <c r="G128" s="656" t="e">
        <f ca="1">E125</f>
        <v>#DIV/0!</v>
      </c>
      <c r="H128" s="492" t="e">
        <f ca="1">IF($G$114=TRUE,0,E122*B112)</f>
        <v>#DIV/0!</v>
      </c>
      <c r="I128" s="493" t="e">
        <f ca="1">G128+F128-H128</f>
        <v>#DIV/0!</v>
      </c>
      <c r="J128" s="46"/>
      <c r="K128" s="45"/>
      <c r="L128" s="45"/>
      <c r="M128" s="45"/>
    </row>
    <row r="129" spans="1:13" ht="32.25" customHeight="1">
      <c r="A129" s="414"/>
      <c r="B129" s="414"/>
      <c r="C129" s="414"/>
      <c r="D129" s="423"/>
      <c r="E129" s="423"/>
      <c r="F129" s="423"/>
      <c r="G129" s="414"/>
      <c r="H129" s="423"/>
      <c r="I129" s="479"/>
      <c r="J129" s="46"/>
      <c r="K129" s="30"/>
      <c r="L129" s="30"/>
      <c r="M129" s="30"/>
    </row>
    <row r="187" spans="1:13" ht="16.5" thickBot="1">
      <c r="A187" s="242" t="s">
        <v>427</v>
      </c>
      <c r="B187" s="242"/>
      <c r="C187" s="242"/>
      <c r="D187" s="243"/>
      <c r="E187" s="243"/>
      <c r="F187" s="243"/>
      <c r="G187" s="242"/>
      <c r="H187" s="243"/>
      <c r="I187" s="244"/>
      <c r="J187" s="242"/>
      <c r="K187" s="244"/>
      <c r="L187" s="244"/>
    </row>
    <row r="188" spans="1:13" ht="16.5" thickBot="1">
      <c r="A188" s="249" t="s">
        <v>84</v>
      </c>
      <c r="B188" s="253" t="s">
        <v>116</v>
      </c>
      <c r="C188" s="253" t="s">
        <v>117</v>
      </c>
      <c r="D188" s="253" t="s">
        <v>118</v>
      </c>
      <c r="E188" s="256" t="s">
        <v>428</v>
      </c>
      <c r="F188" s="253"/>
      <c r="G188" s="253"/>
      <c r="H188" s="256"/>
      <c r="I188" s="256">
        <v>1</v>
      </c>
      <c r="J188" s="256">
        <v>2</v>
      </c>
      <c r="K188" s="256">
        <v>3</v>
      </c>
      <c r="L188" s="256" t="s">
        <v>119</v>
      </c>
      <c r="M188" s="256" t="s">
        <v>428</v>
      </c>
    </row>
    <row r="189" spans="1:13" ht="31.5">
      <c r="A189" s="251" t="s">
        <v>120</v>
      </c>
      <c r="B189" s="260" t="str">
        <f>INDEX(DEAPEntries!$B$13:$D$20,MATCH($A189,DEAPEntries!$A$13:$A$20,0),MATCH(B$188,DEAPEntries!$B$13:$D$13,0))</f>
        <v>Heat Pump</v>
      </c>
      <c r="C189" s="260" t="str">
        <f>INDEX(DEAPEntries!$B$13:$D$20,MATCH($A189,DEAPEntries!$A$13:$A$20,0),MATCH(C$188,DEAPEntries!$B$13:$D$13,0))</f>
        <v>Heat Pump</v>
      </c>
      <c r="D189" s="260" t="str">
        <f>INDEX(DEAPEntries!$B$13:$D$20,MATCH($A189,DEAPEntries!$A$13:$A$20,0),MATCH(D$188,DEAPEntries!$B$13:$D$13,0))</f>
        <v>Heat Pump</v>
      </c>
      <c r="E189" s="257" t="str">
        <f t="shared" ref="E189:E195" si="1">VLOOKUP(A189,A189:D189,$G$1+1,FALSE)</f>
        <v>Heat Pump</v>
      </c>
      <c r="F189" s="245"/>
      <c r="G189" s="243"/>
      <c r="H189" s="264" t="s">
        <v>122</v>
      </c>
      <c r="I189" s="263" t="b">
        <f t="shared" ref="I189:K190" si="2">IF(B189="None",FALSE,TRUE)</f>
        <v>1</v>
      </c>
      <c r="J189" s="261" t="b">
        <f t="shared" si="2"/>
        <v>1</v>
      </c>
      <c r="K189" s="261" t="b">
        <f t="shared" si="2"/>
        <v>1</v>
      </c>
      <c r="L189" s="261" t="b">
        <f>IF(OR(I189,J189,K189),TRUE,FALSE)</f>
        <v>1</v>
      </c>
      <c r="M189" s="257" t="b">
        <f>VLOOKUP(H189,H189:L189,$G$1+1,FALSE)</f>
        <v>1</v>
      </c>
    </row>
    <row r="190" spans="1:13">
      <c r="A190" s="251" t="s">
        <v>123</v>
      </c>
      <c r="B190" s="260" t="str">
        <f>INDEX(DEAPEntries!$B$13:$D$20,MATCH($A190,DEAPEntries!$A$13:$A$20,0),MATCH(B$188,DEAPEntries!$B$13:$D$13,0))</f>
        <v>Heat Pump</v>
      </c>
      <c r="C190" s="260" t="str">
        <f>INDEX(DEAPEntries!$B$13:$D$20,MATCH($A190,DEAPEntries!$A$13:$A$20,0),MATCH(C$188,DEAPEntries!$B$13:$D$13,0))</f>
        <v>Heat Pump</v>
      </c>
      <c r="D190" s="260" t="str">
        <f>INDEX(DEAPEntries!$B$13:$D$20,MATCH($A190,DEAPEntries!$A$13:$A$20,0),MATCH(D$188,DEAPEntries!$B$13:$D$13,0))</f>
        <v>Heat Pump</v>
      </c>
      <c r="E190" s="257" t="str">
        <f t="shared" si="1"/>
        <v>Heat Pump</v>
      </c>
      <c r="F190" s="245"/>
      <c r="G190" s="243"/>
      <c r="H190" s="264" t="s">
        <v>124</v>
      </c>
      <c r="I190" s="263" t="b">
        <f t="shared" si="2"/>
        <v>1</v>
      </c>
      <c r="J190" s="261" t="b">
        <f t="shared" si="2"/>
        <v>1</v>
      </c>
      <c r="K190" s="261" t="b">
        <f t="shared" si="2"/>
        <v>1</v>
      </c>
      <c r="L190" s="261" t="b">
        <f>IF(OR(I190,J190,K190),TRUE,FALSE)</f>
        <v>1</v>
      </c>
      <c r="M190" s="257" t="b">
        <f>VLOOKUP(H190,H190:L190,$G$1+1,FALSE)</f>
        <v>1</v>
      </c>
    </row>
    <row r="191" spans="1:13">
      <c r="A191" s="251" t="s">
        <v>125</v>
      </c>
      <c r="B191" s="266">
        <f>INDEX(DEAPEntries!$B$13:$D$20,MATCH($A191,DEAPEntries!$A$13:$A$20,0),MATCH(B$188,DEAPEntries!$B$13:$D$13,0))</f>
        <v>1</v>
      </c>
      <c r="C191" s="266">
        <f>INDEX(DEAPEntries!$B$13:$D$20,MATCH($A191,DEAPEntries!$A$13:$A$20,0),MATCH(C$188,DEAPEntries!$B$13:$D$13,0))</f>
        <v>0</v>
      </c>
      <c r="D191" s="266">
        <f>INDEX(DEAPEntries!$B$13:$D$20,MATCH($A191,DEAPEntries!$A$13:$A$20,0),MATCH(D$188,DEAPEntries!$B$13:$D$13,0))</f>
        <v>0</v>
      </c>
      <c r="E191" s="267">
        <f t="shared" si="1"/>
        <v>0</v>
      </c>
      <c r="F191" s="245"/>
      <c r="G191" s="243"/>
      <c r="H191" s="243"/>
      <c r="I191" s="254"/>
      <c r="J191" s="250"/>
      <c r="K191" s="250"/>
      <c r="L191" s="254"/>
    </row>
    <row r="192" spans="1:13">
      <c r="A192" s="251" t="s">
        <v>128</v>
      </c>
      <c r="B192" s="266">
        <f>INDEX(DEAPEntries!$B$13:$D$20,MATCH($A192,DEAPEntries!$A$13:$A$20,0),MATCH(B$188,DEAPEntries!$B$13:$D$13,0))</f>
        <v>1</v>
      </c>
      <c r="C192" s="266">
        <f>INDEX(DEAPEntries!$B$13:$D$20,MATCH($A192,DEAPEntries!$A$13:$A$20,0),MATCH(C$188,DEAPEntries!$B$13:$D$13,0))</f>
        <v>0</v>
      </c>
      <c r="D192" s="266">
        <f>INDEX(DEAPEntries!$B$13:$D$20,MATCH($A192,DEAPEntries!$A$13:$A$20,0),MATCH(D$188,DEAPEntries!$B$13:$D$13,0))</f>
        <v>0</v>
      </c>
      <c r="E192" s="267">
        <f t="shared" si="1"/>
        <v>0</v>
      </c>
      <c r="F192" s="245"/>
      <c r="G192" s="243"/>
      <c r="H192" s="243"/>
      <c r="I192" s="254"/>
      <c r="J192" s="250"/>
      <c r="K192" s="250"/>
      <c r="L192" s="254"/>
    </row>
    <row r="193" spans="1:29">
      <c r="A193" s="251" t="s">
        <v>131</v>
      </c>
      <c r="B193" s="266" t="str">
        <f>INDEX(DEAPEntries!$B$13:$D$20,MATCH($A193,DEAPEntries!$A$13:$A$20,0),MATCH(B$188,DEAPEntries!$B$13:$D$13,0))</f>
        <v>No</v>
      </c>
      <c r="C193" s="266" t="str">
        <f>INDEX(DEAPEntries!$B$13:$D$20,MATCH($A193,DEAPEntries!$A$13:$A$20,0),MATCH(C$188,DEAPEntries!$B$13:$D$13,0))</f>
        <v>No</v>
      </c>
      <c r="D193" s="266" t="str">
        <f>INDEX(DEAPEntries!$B$13:$D$20,MATCH($A193,DEAPEntries!$A$13:$A$20,0),MATCH(D$188,DEAPEntries!$B$13:$D$13,0))</f>
        <v>No</v>
      </c>
      <c r="E193" s="267" t="str">
        <f t="shared" si="1"/>
        <v>No</v>
      </c>
      <c r="F193" s="245"/>
      <c r="G193" s="243"/>
      <c r="H193" s="243"/>
      <c r="I193" s="254"/>
      <c r="J193" s="250"/>
      <c r="K193" s="250"/>
      <c r="L193" s="250"/>
    </row>
    <row r="194" spans="1:29">
      <c r="A194" s="252" t="s">
        <v>133</v>
      </c>
      <c r="B194" s="266" t="str">
        <f>INDEX(DEAPEntries!$B$13:$D$20,MATCH($A194,DEAPEntries!$A$13:$A$20,0),MATCH(B$188,DEAPEntries!$B$13:$D$13,0))</f>
        <v>Yes</v>
      </c>
      <c r="C194" s="266" t="str">
        <f>INDEX(DEAPEntries!$B$13:$D$20,MATCH($A194,DEAPEntries!$A$13:$A$20,0),MATCH(C$188,DEAPEntries!$B$13:$D$13,0))</f>
        <v>No</v>
      </c>
      <c r="D194" s="266" t="str">
        <f>INDEX(DEAPEntries!$B$13:$D$20,MATCH($A194,DEAPEntries!$A$13:$A$20,0),MATCH(D$188,DEAPEntries!$B$13:$D$13,0))</f>
        <v>No</v>
      </c>
      <c r="E194" s="267" t="str">
        <f t="shared" si="1"/>
        <v>No</v>
      </c>
      <c r="F194" s="245"/>
      <c r="G194" s="243"/>
      <c r="H194" s="265" t="s">
        <v>136</v>
      </c>
      <c r="I194" s="262" t="b">
        <f>IF(OR(B194="Yes",C194="Yes",D194="Yes"),TRUE,FALSE)</f>
        <v>1</v>
      </c>
      <c r="J194" s="250"/>
      <c r="K194" s="250"/>
      <c r="L194" s="250"/>
    </row>
    <row r="195" spans="1:29">
      <c r="A195" s="246" t="s">
        <v>137</v>
      </c>
      <c r="B195" s="266">
        <f>INDEX(DEAPEntries!$B$13:$D$20,MATCH($A195,DEAPEntries!$A$13:$A$20,0),MATCH(B$188,DEAPEntries!$B$13:$D$13,0))</f>
        <v>0</v>
      </c>
      <c r="C195" s="266">
        <f>INDEX(DEAPEntries!$B$13:$D$20,MATCH($A195,DEAPEntries!$A$13:$A$20,0),MATCH(C$188,DEAPEntries!$B$13:$D$13,0))</f>
        <v>0</v>
      </c>
      <c r="D195" s="266">
        <f>INDEX(DEAPEntries!$B$13:$D$20,MATCH($A195,DEAPEntries!$A$13:$A$20,0),MATCH(D$188,DEAPEntries!$B$13:$D$13,0))</f>
        <v>0</v>
      </c>
      <c r="E195" s="267">
        <f t="shared" si="1"/>
        <v>0</v>
      </c>
      <c r="F195" s="245"/>
      <c r="G195" s="247"/>
      <c r="H195" s="247"/>
      <c r="I195" s="255"/>
      <c r="J195" s="250"/>
      <c r="K195" s="248"/>
      <c r="L195" s="250"/>
    </row>
    <row r="197" spans="1:29" s="80" customFormat="1" ht="12.75">
      <c r="A197" s="283" t="s">
        <v>429</v>
      </c>
      <c r="B197" s="284" t="s">
        <v>430</v>
      </c>
      <c r="C197" s="284" t="s">
        <v>431</v>
      </c>
      <c r="D197" s="284" t="s">
        <v>432</v>
      </c>
      <c r="E197" s="275"/>
      <c r="F197" s="275"/>
      <c r="G197" s="275"/>
      <c r="H197" s="275"/>
      <c r="I197" s="274"/>
      <c r="J197" s="82"/>
      <c r="L197" s="82"/>
      <c r="AC197" s="82"/>
    </row>
    <row r="198" spans="1:29" s="80" customFormat="1" ht="60" customHeight="1">
      <c r="A198" s="276" t="s">
        <v>433</v>
      </c>
      <c r="B198" s="276" t="str">
        <f>RIGHT(B197)</f>
        <v>1</v>
      </c>
      <c r="C198" s="276" t="str">
        <f>RIGHT(C197)</f>
        <v>2</v>
      </c>
      <c r="D198" s="276" t="str">
        <f>RIGHT(D197)</f>
        <v>3</v>
      </c>
      <c r="E198" s="276" t="s">
        <v>434</v>
      </c>
      <c r="F198" s="277" t="s">
        <v>177</v>
      </c>
      <c r="G198" s="277" t="s">
        <v>178</v>
      </c>
      <c r="H198" s="277" t="s">
        <v>435</v>
      </c>
      <c r="I198" s="82"/>
      <c r="J198" s="82"/>
      <c r="L198" s="82"/>
      <c r="AC198" s="82"/>
    </row>
    <row r="199" spans="1:29" s="80" customFormat="1">
      <c r="A199" s="282" t="str">
        <f>HeatingCalc_1!A60</f>
        <v>Space Heating Energy Requirement</v>
      </c>
      <c r="B199" s="278" t="e">
        <f>HeatingCalc_1!H60</f>
        <v>#DIV/0!</v>
      </c>
      <c r="C199" s="279" cm="1">
        <f t="array" aca="1" ref="C199" ca="1">INDIRECT($F199&amp;C$198&amp;"!"&amp;$G199)</f>
        <v>0</v>
      </c>
      <c r="D199" s="279" cm="1">
        <f t="array" aca="1" ref="D199" ca="1">INDIRECT($F199&amp;D$198&amp;"!"&amp;$G199)</f>
        <v>0</v>
      </c>
      <c r="E199" s="297">
        <f t="shared" ref="E199:E207" ca="1" si="3">VLOOKUP(A199,A199:D199,$G$1+1,FALSE)</f>
        <v>0</v>
      </c>
      <c r="F199" s="280" t="str">
        <f ca="1">LEFT(H199,FIND("1",H199)-1)</f>
        <v>HeatingCalc_</v>
      </c>
      <c r="G199" s="280" t="str">
        <f ca="1">RIGHT(H199,LEN(H199)-FIND("!",H199))</f>
        <v>H60</v>
      </c>
      <c r="H199" s="281" t="str">
        <f ca="1">SUBSTITUTE( _xlfn.FORMULATEXT(B199),"=","")</f>
        <v>HeatingCalc_1!H60</v>
      </c>
      <c r="L199" s="82"/>
      <c r="AC199" s="82"/>
    </row>
    <row r="200" spans="1:29" s="80" customFormat="1">
      <c r="A200" s="282" t="str">
        <f>HeatingCalc_1!A69</f>
        <v>Total Delivered Energy Required (this will be gas or elec)</v>
      </c>
      <c r="B200" s="278" t="e">
        <f>HeatingCalc_1!H69</f>
        <v>#VALUE!</v>
      </c>
      <c r="C200" s="279" t="e" cm="1">
        <f t="array" aca="1" ref="C200" ca="1">INDIRECT($F200&amp;C$198&amp;"!"&amp;$G200)</f>
        <v>#VALUE!</v>
      </c>
      <c r="D200" s="279" t="e" cm="1">
        <f t="array" aca="1" ref="D200" ca="1">INDIRECT($F200&amp;D$198&amp;"!"&amp;$G200)</f>
        <v>#VALUE!</v>
      </c>
      <c r="E200" s="297" t="e">
        <f t="shared" ca="1" si="3"/>
        <v>#VALUE!</v>
      </c>
      <c r="F200" s="280" t="str">
        <f ca="1">LEFT(H200,FIND("1",H200)-1)</f>
        <v>HeatingCalc_</v>
      </c>
      <c r="G200" s="280" t="str">
        <f ca="1">RIGHT(H200,LEN(H200)-FIND("!",H200))</f>
        <v>H69</v>
      </c>
      <c r="H200" s="281" t="str">
        <f ca="1">SUBSTITUTE( _xlfn.FORMULATEXT(B200),"=","")</f>
        <v>HeatingCalc_1!H69</v>
      </c>
      <c r="L200" s="82"/>
      <c r="AC200" s="82"/>
    </row>
    <row r="201" spans="1:29" s="80" customFormat="1">
      <c r="A201" s="282" t="str">
        <f>HeatingCalc_1!A71</f>
        <v>SPF - Heat Pump &amp; Back up Heater</v>
      </c>
      <c r="B201" s="278" t="e">
        <f>HeatingCalc_1!H71</f>
        <v>#DIV/0!</v>
      </c>
      <c r="C201" s="279" t="e" cm="1">
        <f t="array" aca="1" ref="C201" ca="1">INDIRECT($F201&amp;C$198&amp;"!"&amp;$G201)</f>
        <v>#VALUE!</v>
      </c>
      <c r="D201" s="279" t="e" cm="1">
        <f t="array" aca="1" ref="D201" ca="1">INDIRECT($F201&amp;D$198&amp;"!"&amp;$G201)</f>
        <v>#VALUE!</v>
      </c>
      <c r="E201" s="297" t="e">
        <f t="shared" ca="1" si="3"/>
        <v>#VALUE!</v>
      </c>
      <c r="F201" s="280" t="str">
        <f t="shared" ref="F201:F207" ca="1" si="4">LEFT(H201,FIND("1",H201)-1)</f>
        <v>HeatingCalc_</v>
      </c>
      <c r="G201" s="280" t="str">
        <f t="shared" ref="G201:G207" ca="1" si="5">RIGHT(H201,LEN(H201)-FIND("!",H201))</f>
        <v>H71</v>
      </c>
      <c r="H201" s="281" t="str">
        <f t="shared" ref="H201:H207" ca="1" si="6">SUBSTITUTE( _xlfn.FORMULATEXT(B201),"=","")</f>
        <v>HeatingCalc_1!H71</v>
      </c>
      <c r="L201" s="82"/>
      <c r="AC201" s="82"/>
    </row>
    <row r="202" spans="1:29" s="80" customFormat="1">
      <c r="A202" s="282" t="str">
        <f>HeatingCalc_1!A73</f>
        <v>Renewable Contribution calculated in DEAP</v>
      </c>
      <c r="B202" s="278" t="e">
        <f>HeatingCalc_1!H73</f>
        <v>#DIV/0!</v>
      </c>
      <c r="C202" s="279" t="e" cm="1">
        <f t="array" aca="1" ref="C202" ca="1">INDIRECT($F202&amp;C$198&amp;"!"&amp;$G202)</f>
        <v>#VALUE!</v>
      </c>
      <c r="D202" s="279" t="e" cm="1">
        <f t="array" aca="1" ref="D202" ca="1">INDIRECT($F202&amp;D$198&amp;"!"&amp;$G202)</f>
        <v>#VALUE!</v>
      </c>
      <c r="E202" s="297" t="e">
        <f t="shared" ca="1" si="3"/>
        <v>#VALUE!</v>
      </c>
      <c r="F202" s="280" t="str">
        <f t="shared" ca="1" si="4"/>
        <v>HeatingCalc_</v>
      </c>
      <c r="G202" s="280" t="str">
        <f t="shared" ca="1" si="5"/>
        <v>H73</v>
      </c>
      <c r="H202" s="281" t="str">
        <f t="shared" ca="1" si="6"/>
        <v>HeatingCalc_1!H73</v>
      </c>
      <c r="L202" s="82"/>
      <c r="AC202" s="82"/>
    </row>
    <row r="203" spans="1:29" s="80" customFormat="1">
      <c r="A203" s="282" t="str">
        <f>HeatingCalc_1!A75</f>
        <v>Space Heating Provided by Heat Pump</v>
      </c>
      <c r="B203" s="278" t="e">
        <f>HeatingCalc_1!H75</f>
        <v>#DIV/0!</v>
      </c>
      <c r="C203" s="279" t="e" cm="1">
        <f t="array" aca="1" ref="C203" ca="1">INDIRECT($F203&amp;C$198&amp;"!"&amp;$G203)</f>
        <v>#VALUE!</v>
      </c>
      <c r="D203" s="279" t="e" cm="1">
        <f t="array" aca="1" ref="D203" ca="1">INDIRECT($F203&amp;D$198&amp;"!"&amp;$G203)</f>
        <v>#VALUE!</v>
      </c>
      <c r="E203" s="297" t="e">
        <f t="shared" ca="1" si="3"/>
        <v>#VALUE!</v>
      </c>
      <c r="F203" s="280" t="str">
        <f t="shared" ca="1" si="4"/>
        <v>HeatingCalc_</v>
      </c>
      <c r="G203" s="280" t="str">
        <f t="shared" ca="1" si="5"/>
        <v>H75</v>
      </c>
      <c r="H203" s="281" t="str">
        <f t="shared" ca="1" si="6"/>
        <v>HeatingCalc_1!H75</v>
      </c>
      <c r="I203" s="81"/>
      <c r="L203" s="82"/>
      <c r="AC203" s="82"/>
    </row>
    <row r="204" spans="1:29" s="80" customFormat="1">
      <c r="A204" s="282" t="str">
        <f>HeatingCalc_1!A77</f>
        <v>SPF - Heat Pump only</v>
      </c>
      <c r="B204" s="278" t="e">
        <f>HeatingCalc_1!H77</f>
        <v>#DIV/0!</v>
      </c>
      <c r="C204" s="279" t="e" cm="1">
        <f t="array" aca="1" ref="C204" ca="1">INDIRECT($F204&amp;C$198&amp;"!"&amp;$G204)</f>
        <v>#VALUE!</v>
      </c>
      <c r="D204" s="279" t="e" cm="1">
        <f t="array" aca="1" ref="D204" ca="1">INDIRECT($F204&amp;D$198&amp;"!"&amp;$G204)</f>
        <v>#VALUE!</v>
      </c>
      <c r="E204" s="297" t="e">
        <f t="shared" ca="1" si="3"/>
        <v>#VALUE!</v>
      </c>
      <c r="F204" s="280" t="str">
        <f t="shared" ca="1" si="4"/>
        <v>HeatingCalc_</v>
      </c>
      <c r="G204" s="280" t="str">
        <f t="shared" ca="1" si="5"/>
        <v>H77</v>
      </c>
      <c r="H204" s="281" t="str">
        <f t="shared" ca="1" si="6"/>
        <v>HeatingCalc_1!H77</v>
      </c>
      <c r="L204" s="82"/>
      <c r="AC204" s="82"/>
    </row>
    <row r="205" spans="1:29">
      <c r="A205" s="282" t="str">
        <f>HeatingCalc_1!A79</f>
        <v>Renewable Contribution provided by Heat Pump</v>
      </c>
      <c r="B205" s="278" t="e">
        <f>HeatingCalc_1!H79</f>
        <v>#DIV/0!</v>
      </c>
      <c r="C205" s="279" t="e" cm="1">
        <f t="array" aca="1" ref="C205" ca="1">INDIRECT($F205&amp;C$198&amp;"!"&amp;$G205)</f>
        <v>#VALUE!</v>
      </c>
      <c r="D205" s="279" t="e" cm="1">
        <f t="array" aca="1" ref="D205" ca="1">INDIRECT($F205&amp;D$198&amp;"!"&amp;$G205)</f>
        <v>#VALUE!</v>
      </c>
      <c r="E205" s="297" t="e">
        <f t="shared" ca="1" si="3"/>
        <v>#VALUE!</v>
      </c>
      <c r="F205" s="280" t="str">
        <f t="shared" ca="1" si="4"/>
        <v>HeatingCalc_</v>
      </c>
      <c r="G205" s="280" t="str">
        <f t="shared" ca="1" si="5"/>
        <v>H79</v>
      </c>
      <c r="H205" s="281" t="str">
        <f t="shared" ca="1" si="6"/>
        <v>HeatingCalc_1!H79</v>
      </c>
    </row>
    <row r="206" spans="1:29">
      <c r="A206" s="282" t="str">
        <f>HeatingCalc_1!A82</f>
        <v>Renewable Contribution from Exhaust Air Heat Pump</v>
      </c>
      <c r="B206" s="278" t="e">
        <f>HeatingCalc_1!H82</f>
        <v>#DIV/0!</v>
      </c>
      <c r="C206" s="279" t="e" cm="1">
        <f t="array" aca="1" ref="C206" ca="1">INDIRECT($F206&amp;C$198&amp;"!"&amp;$G206)</f>
        <v>#VALUE!</v>
      </c>
      <c r="D206" s="279" t="e" cm="1">
        <f t="array" aca="1" ref="D206" ca="1">INDIRECT($F206&amp;D$198&amp;"!"&amp;$G206)</f>
        <v>#VALUE!</v>
      </c>
      <c r="E206" s="297" t="e">
        <f t="shared" ca="1" si="3"/>
        <v>#VALUE!</v>
      </c>
      <c r="F206" s="280" t="str">
        <f t="shared" ca="1" si="4"/>
        <v>HeatingCalc_</v>
      </c>
      <c r="G206" s="280" t="str">
        <f t="shared" ca="1" si="5"/>
        <v>H82</v>
      </c>
      <c r="H206" s="281" t="str">
        <f t="shared" ca="1" si="6"/>
        <v>HeatingCalc_1!H82</v>
      </c>
    </row>
    <row r="207" spans="1:29">
      <c r="A207" s="282" t="str">
        <f>HeatingCalc_1!I85</f>
        <v>% renewables</v>
      </c>
      <c r="B207" s="285">
        <f>HeatingCalc_1!H85</f>
        <v>1</v>
      </c>
      <c r="C207" s="279" cm="1">
        <f t="array" aca="1" ref="C207" ca="1">INDIRECT($F207&amp;C$198&amp;"!"&amp;$G207)</f>
        <v>1</v>
      </c>
      <c r="D207" s="279" cm="1">
        <f t="array" aca="1" ref="D207" ca="1">INDIRECT($F207&amp;D$198&amp;"!"&amp;$G207)</f>
        <v>1</v>
      </c>
      <c r="E207" s="298">
        <f t="shared" ca="1" si="3"/>
        <v>1</v>
      </c>
      <c r="F207" s="280" t="str">
        <f t="shared" ca="1" si="4"/>
        <v>HeatingCalc_</v>
      </c>
      <c r="G207" s="280" t="str">
        <f t="shared" ca="1" si="5"/>
        <v>H85</v>
      </c>
      <c r="H207" s="281" t="str">
        <f t="shared" ca="1" si="6"/>
        <v>HeatingCalc_1!H85</v>
      </c>
    </row>
    <row r="208" spans="1:29" customFormat="1" ht="12.75">
      <c r="A208" s="276" t="s">
        <v>436</v>
      </c>
    </row>
    <row r="209" spans="1:8">
      <c r="A209" s="282" t="str">
        <f>DHWCalc_1!A12</f>
        <v>Efficiency for DEAP</v>
      </c>
      <c r="B209" s="285">
        <f>DHWCalc_1!B12</f>
        <v>0</v>
      </c>
      <c r="C209" s="279" cm="1">
        <f t="array" aca="1" ref="C209" ca="1">INDIRECT($F209&amp;C$198&amp;"!"&amp;$G209)</f>
        <v>0</v>
      </c>
      <c r="D209" s="279" cm="1">
        <f t="array" aca="1" ref="D209" ca="1">INDIRECT($F209&amp;D$198&amp;"!"&amp;$G209)</f>
        <v>0</v>
      </c>
      <c r="E209" s="298">
        <f ca="1">VLOOKUP(A209,A209:D209,$G$1+1,FALSE)</f>
        <v>0</v>
      </c>
      <c r="F209" s="280" t="str">
        <f t="shared" ref="F209:F222" ca="1" si="7">LEFT(H209,FIND("1",H209)-1)</f>
        <v>DHWCalc_</v>
      </c>
      <c r="G209" s="280" t="str">
        <f t="shared" ref="G209:G222" ca="1" si="8">RIGHT(H209,LEN(H209)-FIND("!",H209))</f>
        <v>B12</v>
      </c>
      <c r="H209" s="281" t="str">
        <f t="shared" ref="H209:H222" ca="1" si="9">SUBSTITUTE( _xlfn.FORMULATEXT(B209),"=","")</f>
        <v>DHWCalc_1!B12</v>
      </c>
    </row>
    <row r="210" spans="1:8" ht="31.5">
      <c r="A210" s="282" t="str">
        <f>DHWCalc_1!A17</f>
        <v>Fraction of Demand met by backup energy to meet temperature shortfall</v>
      </c>
      <c r="B210" s="286" t="e">
        <f>DHWCalc_1!B17</f>
        <v>#VALUE!</v>
      </c>
      <c r="C210" s="279" cm="1">
        <f t="array" aca="1" ref="C210" ca="1">INDIRECT($F210&amp;C$198&amp;"!"&amp;$G210)</f>
        <v>1.1818181818181819</v>
      </c>
      <c r="D210" s="279" cm="1">
        <f t="array" aca="1" ref="D210" ca="1">INDIRECT($F210&amp;D$198&amp;"!"&amp;$G210)</f>
        <v>1.1818181818181819</v>
      </c>
      <c r="E210" s="344">
        <f ca="1">VLOOKUP(A210,A210:D210,$G$1+1,FALSE)</f>
        <v>1.1818181818181819</v>
      </c>
      <c r="F210" s="280" t="str">
        <f t="shared" ca="1" si="7"/>
        <v>DHWCalc_</v>
      </c>
      <c r="G210" s="280" t="str">
        <f t="shared" ca="1" si="8"/>
        <v>B17</v>
      </c>
      <c r="H210" s="281" t="str">
        <f t="shared" ca="1" si="9"/>
        <v>DHWCalc_1!B17</v>
      </c>
    </row>
    <row r="211" spans="1:8">
      <c r="A211" s="282" t="str">
        <f>DHWCalc_1!A19</f>
        <v>DHW Demand for Dwelling</v>
      </c>
      <c r="B211" s="346" t="e">
        <f>DHWCalc_1!B19</f>
        <v>#DIV/0!</v>
      </c>
      <c r="C211" s="279" cm="1">
        <f t="array" aca="1" ref="C211" ca="1">INDIRECT($F211&amp;C$198&amp;"!"&amp;$G211)</f>
        <v>0</v>
      </c>
      <c r="D211" s="279" cm="1">
        <f t="array" aca="1" ref="D211" ca="1">INDIRECT($F211&amp;D$198&amp;"!"&amp;$G211)</f>
        <v>0</v>
      </c>
      <c r="E211" s="349">
        <f t="shared" ref="E211:E222" ca="1" si="10">VLOOKUP(A211,A211:D211,$G$1+1,FALSE)</f>
        <v>0</v>
      </c>
      <c r="F211" s="280" t="str">
        <f t="shared" ca="1" si="7"/>
        <v>DHWCalc_</v>
      </c>
      <c r="G211" s="280" t="str">
        <f t="shared" ca="1" si="8"/>
        <v>B19</v>
      </c>
      <c r="H211" s="281" t="str">
        <f t="shared" ca="1" si="9"/>
        <v>DHWCalc_1!B19</v>
      </c>
    </row>
    <row r="212" spans="1:8">
      <c r="A212" s="282" t="str">
        <f>DHWCalc_1!A28</f>
        <v>Total Fuel Required for Water Heating</v>
      </c>
      <c r="B212" s="346" t="e">
        <f>DHWCalc_1!B28</f>
        <v>#DIV/0!</v>
      </c>
      <c r="C212" s="279" t="e" cm="1">
        <f t="array" aca="1" ref="C212" ca="1">INDIRECT($F212&amp;C$198&amp;"!"&amp;$G212)</f>
        <v>#DIV/0!</v>
      </c>
      <c r="D212" s="279" t="e" cm="1">
        <f t="array" aca="1" ref="D212" ca="1">INDIRECT($F212&amp;D$198&amp;"!"&amp;$G212)</f>
        <v>#DIV/0!</v>
      </c>
      <c r="E212" s="349" t="e">
        <f t="shared" ca="1" si="10"/>
        <v>#DIV/0!</v>
      </c>
      <c r="F212" s="280" t="str">
        <f t="shared" ca="1" si="7"/>
        <v>DHWCalc_</v>
      </c>
      <c r="G212" s="280" t="str">
        <f t="shared" ca="1" si="8"/>
        <v>B28</v>
      </c>
      <c r="H212" s="281" t="str">
        <f t="shared" ca="1" si="9"/>
        <v>DHWCalc_1!B28</v>
      </c>
    </row>
    <row r="213" spans="1:8">
      <c r="A213" s="282" t="str">
        <f>DHWCalc_1!A30</f>
        <v>SPF</v>
      </c>
      <c r="B213" s="285" t="e">
        <f>DHWCalc_1!B30</f>
        <v>#DIV/0!</v>
      </c>
      <c r="C213" s="279" t="e" cm="1">
        <f t="array" aca="1" ref="C213" ca="1">INDIRECT($F213&amp;C$198&amp;"!"&amp;$G213)</f>
        <v>#DIV/0!</v>
      </c>
      <c r="D213" s="279" t="e" cm="1">
        <f t="array" aca="1" ref="D213" ca="1">INDIRECT($F213&amp;D$198&amp;"!"&amp;$G213)</f>
        <v>#DIV/0!</v>
      </c>
      <c r="E213" s="298" t="e">
        <f t="shared" ca="1" si="10"/>
        <v>#DIV/0!</v>
      </c>
      <c r="F213" s="280" t="str">
        <f t="shared" ca="1" si="7"/>
        <v>DHWCalc_</v>
      </c>
      <c r="G213" s="280" t="str">
        <f t="shared" ca="1" si="8"/>
        <v>B30</v>
      </c>
      <c r="H213" s="281" t="str">
        <f t="shared" ca="1" si="9"/>
        <v>DHWCalc_1!B30</v>
      </c>
    </row>
    <row r="214" spans="1:8">
      <c r="A214" s="282" t="str">
        <f>DHWCalc_1!A32</f>
        <v>Renewable Contribution calculated in DEAP</v>
      </c>
      <c r="B214" s="347" t="e">
        <f>DHWCalc_1!B32</f>
        <v>#DIV/0!</v>
      </c>
      <c r="C214" s="279" t="e" cm="1">
        <f t="array" aca="1" ref="C214" ca="1">INDIRECT($F214&amp;C$198&amp;"!"&amp;$G214)</f>
        <v>#DIV/0!</v>
      </c>
      <c r="D214" s="279" t="e" cm="1">
        <f t="array" aca="1" ref="D214" ca="1">INDIRECT($F214&amp;D$198&amp;"!"&amp;$G214)</f>
        <v>#DIV/0!</v>
      </c>
      <c r="E214" s="348" t="e">
        <f t="shared" ca="1" si="10"/>
        <v>#DIV/0!</v>
      </c>
      <c r="F214" s="280" t="str">
        <f t="shared" ca="1" si="7"/>
        <v>DHWCalc_</v>
      </c>
      <c r="G214" s="280" t="str">
        <f t="shared" ca="1" si="8"/>
        <v>B32</v>
      </c>
      <c r="H214" s="281" t="str">
        <f t="shared" ca="1" si="9"/>
        <v>DHWCalc_1!B32</v>
      </c>
    </row>
    <row r="215" spans="1:8">
      <c r="A215" s="282" t="str">
        <f>DHWCalc_1!A34</f>
        <v>Hot Water Provided by Heat Pump</v>
      </c>
      <c r="B215" s="347" t="e">
        <f>DHWCalc_1!B34</f>
        <v>#DIV/0!</v>
      </c>
      <c r="C215" s="279" t="e" cm="1">
        <f t="array" aca="1" ref="C215" ca="1">INDIRECT($F215&amp;C$198&amp;"!"&amp;$G215)</f>
        <v>#DIV/0!</v>
      </c>
      <c r="D215" s="279" t="e" cm="1">
        <f t="array" aca="1" ref="D215" ca="1">INDIRECT($F215&amp;D$198&amp;"!"&amp;$G215)</f>
        <v>#DIV/0!</v>
      </c>
      <c r="E215" s="348" t="e">
        <f t="shared" ca="1" si="10"/>
        <v>#DIV/0!</v>
      </c>
      <c r="F215" s="280" t="str">
        <f t="shared" ca="1" si="7"/>
        <v>DHWCalc_</v>
      </c>
      <c r="G215" s="280" t="str">
        <f t="shared" ca="1" si="8"/>
        <v>B34</v>
      </c>
      <c r="H215" s="281" t="str">
        <f t="shared" ca="1" si="9"/>
        <v>DHWCalc_1!B34</v>
      </c>
    </row>
    <row r="216" spans="1:8">
      <c r="A216" s="282" t="str">
        <f>DHWCalc_1!A36</f>
        <v>% Renewable</v>
      </c>
      <c r="B216" s="345">
        <f>DHWCalc_1!B36</f>
        <v>1</v>
      </c>
      <c r="C216" s="279" cm="1">
        <f t="array" aca="1" ref="C216" ca="1">INDIRECT($F216&amp;C$198&amp;"!"&amp;$G216)</f>
        <v>1</v>
      </c>
      <c r="D216" s="279" cm="1">
        <f t="array" aca="1" ref="D216" ca="1">INDIRECT($F216&amp;D$198&amp;"!"&amp;$G216)</f>
        <v>1</v>
      </c>
      <c r="E216" s="298">
        <f t="shared" ca="1" si="10"/>
        <v>1</v>
      </c>
      <c r="F216" s="280" t="str">
        <f t="shared" ca="1" si="7"/>
        <v>DHWCalc_</v>
      </c>
      <c r="G216" s="280" t="str">
        <f t="shared" ca="1" si="8"/>
        <v>B36</v>
      </c>
      <c r="H216" s="281" t="str">
        <f t="shared" ca="1" si="9"/>
        <v>DHWCalc_1!B36</v>
      </c>
    </row>
    <row r="217" spans="1:8">
      <c r="A217" s="282" t="str">
        <f>DHWCalc_1!A57</f>
        <v>SPF</v>
      </c>
      <c r="B217" s="345" t="e">
        <f>DHWCalc_1!B57</f>
        <v>#DIV/0!</v>
      </c>
      <c r="C217" s="279" t="e" cm="1">
        <f t="array" aca="1" ref="C217" ca="1">INDIRECT($F217&amp;C$198&amp;"!"&amp;$G217)</f>
        <v>#DIV/0!</v>
      </c>
      <c r="D217" s="279" t="e" cm="1">
        <f t="array" aca="1" ref="D217" ca="1">INDIRECT($F217&amp;D$198&amp;"!"&amp;$G217)</f>
        <v>#DIV/0!</v>
      </c>
      <c r="E217" s="298" t="e">
        <f t="shared" ca="1" si="10"/>
        <v>#DIV/0!</v>
      </c>
      <c r="F217" s="280" t="str">
        <f t="shared" ca="1" si="7"/>
        <v>DHWCalc_</v>
      </c>
      <c r="G217" s="280" t="str">
        <f t="shared" ca="1" si="8"/>
        <v>B57</v>
      </c>
      <c r="H217" s="281" t="str">
        <f t="shared" ca="1" si="9"/>
        <v>DHWCalc_1!B57</v>
      </c>
    </row>
    <row r="218" spans="1:8">
      <c r="A218" s="282" t="str">
        <f>DHWCalc_1!A75</f>
        <v>SPF</v>
      </c>
      <c r="B218" s="345">
        <f>DHWCalc_1!B75</f>
        <v>3.33</v>
      </c>
      <c r="C218" s="279" cm="1">
        <f t="array" aca="1" ref="C218" ca="1">INDIRECT($F218&amp;C$198&amp;"!"&amp;$G218)</f>
        <v>3.33</v>
      </c>
      <c r="D218" s="279" cm="1">
        <f t="array" aca="1" ref="D218" ca="1">INDIRECT($F218&amp;D$198&amp;"!"&amp;$G218)</f>
        <v>3.33</v>
      </c>
      <c r="E218" s="298">
        <f t="shared" ca="1" si="10"/>
        <v>3.33</v>
      </c>
      <c r="F218" s="280" t="str">
        <f t="shared" ca="1" si="7"/>
        <v>DHWCalc_</v>
      </c>
      <c r="G218" s="280" t="str">
        <f t="shared" ca="1" si="8"/>
        <v>B75</v>
      </c>
      <c r="H218" s="281" t="str">
        <f t="shared" ca="1" si="9"/>
        <v>DHWCalc_1!B75</v>
      </c>
    </row>
    <row r="219" spans="1:8">
      <c r="A219" s="282" t="str">
        <f>DHWCalc_1!U2</f>
        <v>Error - Test</v>
      </c>
      <c r="B219" s="347">
        <f>DHWCalc_1!U14</f>
        <v>0</v>
      </c>
      <c r="C219" s="279" cm="1">
        <f t="array" aca="1" ref="C219" ca="1">INDIRECT($F219&amp;C$198&amp;"!"&amp;$G219)</f>
        <v>0</v>
      </c>
      <c r="D219" s="279" cm="1">
        <f t="array" aca="1" ref="D219" ca="1">INDIRECT($F219&amp;D$198&amp;"!"&amp;$G219)</f>
        <v>0</v>
      </c>
      <c r="E219" s="348">
        <f t="shared" ca="1" si="10"/>
        <v>0</v>
      </c>
      <c r="F219" s="280" t="str">
        <f t="shared" ca="1" si="7"/>
        <v>DHWCalc_</v>
      </c>
      <c r="G219" s="280" t="str">
        <f t="shared" ca="1" si="8"/>
        <v>U14</v>
      </c>
      <c r="H219" s="281" t="str">
        <f t="shared" ca="1" si="9"/>
        <v>DHWCalc_1!U14</v>
      </c>
    </row>
    <row r="220" spans="1:8">
      <c r="A220" s="282" t="str">
        <f>DHWCalc_1!V2</f>
        <v>Error - Dwelling</v>
      </c>
      <c r="B220" s="347">
        <f>DHWCalc_1!V14</f>
        <v>0</v>
      </c>
      <c r="C220" s="279" cm="1">
        <f t="array" aca="1" ref="C220" ca="1">INDIRECT($F220&amp;C$198&amp;"!"&amp;$G220)</f>
        <v>1</v>
      </c>
      <c r="D220" s="279" cm="1">
        <f t="array" aca="1" ref="D220" ca="1">INDIRECT($F220&amp;D$198&amp;"!"&amp;$G220)</f>
        <v>1</v>
      </c>
      <c r="E220" s="348">
        <f t="shared" ca="1" si="10"/>
        <v>1</v>
      </c>
      <c r="F220" s="280" t="str">
        <f t="shared" ca="1" si="7"/>
        <v>DHWCalc_</v>
      </c>
      <c r="G220" s="280" t="str">
        <f t="shared" ca="1" si="8"/>
        <v>V14</v>
      </c>
      <c r="H220" s="281" t="str">
        <f t="shared" ca="1" si="9"/>
        <v>DHWCalc_1!V14</v>
      </c>
    </row>
    <row r="221" spans="1:8" ht="110.1" customHeight="1">
      <c r="A221" s="282" t="s">
        <v>437</v>
      </c>
      <c r="B221" s="350" t="str">
        <f>DHWCalc_1!U16</f>
        <v>WARNING: As the test storage Volume does not meet requirements in Ecodesign Directive, the assessor must contact the manufacturer to advise that test volume is not appropriate for the declared load profile and request revised test results.</v>
      </c>
      <c r="C221" s="279" t="str" cm="1">
        <f t="array" aca="1" ref="C221" ca="1">INDIRECT($F221&amp;C$198&amp;"!"&amp;$G221)</f>
        <v>WARNING: As the test storage Volume does not meet requirements in Ecodesign Directive, the assessor must contact the manufacturer to advise that test volume is not appropriate for the declared load profile and request revised test results.</v>
      </c>
      <c r="D221" s="279" t="str" cm="1">
        <f t="array" aca="1" ref="D221" ca="1">INDIRECT($F221&amp;D$198&amp;"!"&amp;$G221)</f>
        <v>WARNING: As the test storage Volume does not meet requirements in Ecodesign Directive, the assessor must contact the manufacturer to advise that test volume is not appropriate for the declared load profile and request revised test results.</v>
      </c>
      <c r="E221" s="351" t="str">
        <f t="shared" ca="1" si="10"/>
        <v>WARNING: As the test storage Volume does not meet requirements in Ecodesign Directive, the assessor must contact the manufacturer to advise that test volume is not appropriate for the declared load profile and request revised test results.</v>
      </c>
      <c r="F221" s="280" t="str">
        <f t="shared" ca="1" si="7"/>
        <v>DHWCalc_</v>
      </c>
      <c r="G221" s="280" t="str">
        <f t="shared" ca="1" si="8"/>
        <v>U16</v>
      </c>
      <c r="H221" s="281" t="str">
        <f t="shared" ca="1" si="9"/>
        <v>DHWCalc_1!U16</v>
      </c>
    </row>
    <row r="222" spans="1:8" ht="154.35" customHeight="1">
      <c r="A222" s="282" t="s">
        <v>438</v>
      </c>
      <c r="B222" s="350" t="str">
        <f>DHWCalc_1!V16</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C222" s="279" t="str" cm="1">
        <f t="array" aca="1" ref="C222" ca="1">INDIRECT($F222&amp;C$198&amp;"!"&amp;$G222)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D222" s="279" t="str" cm="1">
        <f t="array" aca="1" ref="D222" ca="1">INDIRECT($F222&amp;D$198&amp;"!"&amp;$G222)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E222" s="351" t="str">
        <f t="shared" ca="1" si="10"/>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F222" s="280" t="str">
        <f t="shared" ca="1" si="7"/>
        <v>DHWCalc_</v>
      </c>
      <c r="G222" s="280" t="str">
        <f t="shared" ca="1" si="8"/>
        <v>V16</v>
      </c>
      <c r="H222" s="281" t="str">
        <f t="shared" ca="1" si="9"/>
        <v>DHWCalc_1!V16</v>
      </c>
    </row>
    <row r="223" spans="1:8">
      <c r="A223" s="276" t="s">
        <v>439</v>
      </c>
    </row>
    <row r="224" spans="1:8" ht="30">
      <c r="A224" s="282" t="s">
        <v>440</v>
      </c>
      <c r="B224" s="286" t="str">
        <f>SpaceStandardsID_1!A31</f>
        <v>Valid space heat pump type selected.</v>
      </c>
      <c r="C224" s="279" t="str" cm="1">
        <f t="array" aca="1" ref="C224" ca="1">INDIRECT($F224&amp;C$198&amp;"!"&amp;$G224)</f>
        <v>Valid space heat pump type selected.</v>
      </c>
      <c r="D224" s="279" t="str" cm="1">
        <f t="array" aca="1" ref="D224" ca="1">INDIRECT($F224&amp;D$198&amp;"!"&amp;$G224)</f>
        <v>Valid space heat pump type selected.</v>
      </c>
      <c r="E224" s="352" t="str">
        <f ca="1">VLOOKUP(A224,A224:D224,$G$1+1,FALSE)</f>
        <v>Valid space heat pump type selected.</v>
      </c>
      <c r="F224" s="332" t="str">
        <f t="shared" ref="F224:F229" ca="1" si="11">LEFT(H224,FIND("1",H224)-1)</f>
        <v>SpaceStandardsID_</v>
      </c>
      <c r="G224" s="280" t="str">
        <f t="shared" ref="G224:G229" ca="1" si="12">RIGHT(H224,LEN(H224)-FIND("!",H224))</f>
        <v>A31</v>
      </c>
      <c r="H224" s="281" t="str">
        <f t="shared" ref="H224:H229" ca="1" si="13">SUBSTITUTE( _xlfn.FORMULATEXT(B224),"=","")</f>
        <v>SpaceStandardsID_1!A31</v>
      </c>
    </row>
    <row r="225" spans="1:8" ht="28.5">
      <c r="A225" s="282" t="s">
        <v>441</v>
      </c>
      <c r="B225" s="286" t="str">
        <f>SpaceStandardsID_1!B31</f>
        <v>Air to Water</v>
      </c>
      <c r="C225" s="279" t="str" cm="1">
        <f t="array" aca="1" ref="C225" ca="1">INDIRECT($F225&amp;C$198&amp;"!"&amp;$G225)</f>
        <v>Air to Water</v>
      </c>
      <c r="D225" s="279" t="str" cm="1">
        <f t="array" aca="1" ref="D225" ca="1">INDIRECT($F225&amp;D$198&amp;"!"&amp;$G225)</f>
        <v>Air to Water</v>
      </c>
      <c r="E225" s="352" t="str">
        <f t="shared" ref="E225:E229" ca="1" si="14">VLOOKUP(A225,A225:D225,$G$1+1,FALSE)</f>
        <v>Air to Water</v>
      </c>
      <c r="F225" s="332" t="str">
        <f t="shared" ca="1" si="11"/>
        <v>SpaceStandardsID_</v>
      </c>
      <c r="G225" s="280" t="str">
        <f t="shared" ca="1" si="12"/>
        <v>B31</v>
      </c>
      <c r="H225" s="281" t="str">
        <f t="shared" ca="1" si="13"/>
        <v>SpaceStandardsID_1!B31</v>
      </c>
    </row>
    <row r="226" spans="1:8" ht="28.5">
      <c r="A226" s="282" t="s">
        <v>442</v>
      </c>
      <c r="B226" s="286" t="str">
        <f>SpaceStandardsID_1!C31</f>
        <v>Electricity</v>
      </c>
      <c r="C226" s="279" t="str" cm="1">
        <f t="array" aca="1" ref="C226" ca="1">INDIRECT($F226&amp;C$198&amp;"!"&amp;$G226)</f>
        <v>Electricity</v>
      </c>
      <c r="D226" s="279" t="str" cm="1">
        <f t="array" aca="1" ref="D226" ca="1">INDIRECT($F226&amp;D$198&amp;"!"&amp;$G226)</f>
        <v>Electricity</v>
      </c>
      <c r="E226" s="352" t="str">
        <f t="shared" ca="1" si="14"/>
        <v>Electricity</v>
      </c>
      <c r="F226" s="332" t="str">
        <f t="shared" ca="1" si="11"/>
        <v>SpaceStandardsID_</v>
      </c>
      <c r="G226" s="280" t="str">
        <f t="shared" ca="1" si="12"/>
        <v>C31</v>
      </c>
      <c r="H226" s="281" t="str">
        <f t="shared" ca="1" si="13"/>
        <v>SpaceStandardsID_1!C31</v>
      </c>
    </row>
    <row r="227" spans="1:8" ht="30">
      <c r="A227" s="282" t="s">
        <v>443</v>
      </c>
      <c r="B227" s="286" t="str">
        <f>SpaceStandardsID_1!D31</f>
        <v>Not low temperature heat pump</v>
      </c>
      <c r="C227" s="279" t="str" cm="1">
        <f t="array" aca="1" ref="C227" ca="1">INDIRECT($F227&amp;C$198&amp;"!"&amp;$G227)</f>
        <v>Not low temperature heat pump</v>
      </c>
      <c r="D227" s="279" t="str" cm="1">
        <f t="array" aca="1" ref="D227" ca="1">INDIRECT($F227&amp;D$198&amp;"!"&amp;$G227)</f>
        <v>Not low temperature heat pump</v>
      </c>
      <c r="E227" s="352" t="str">
        <f t="shared" ca="1" si="14"/>
        <v>Not low temperature heat pump</v>
      </c>
      <c r="F227" s="332" t="str">
        <f t="shared" ca="1" si="11"/>
        <v>SpaceStandardsID_</v>
      </c>
      <c r="G227" s="280" t="str">
        <f t="shared" ca="1" si="12"/>
        <v>D31</v>
      </c>
      <c r="H227" s="281" t="str">
        <f t="shared" ca="1" si="13"/>
        <v>SpaceStandardsID_1!D31</v>
      </c>
    </row>
    <row r="228" spans="1:8" ht="45">
      <c r="A228" s="282" t="s">
        <v>444</v>
      </c>
      <c r="B228" s="286" t="str">
        <f>SpaceStandardsID_1!E31</f>
        <v>Ecodesign applies and/or ecodesign data available</v>
      </c>
      <c r="C228" s="279" t="str" cm="1">
        <f t="array" aca="1" ref="C228" ca="1">INDIRECT($F228&amp;C$198&amp;"!"&amp;$G228)</f>
        <v>Ecodesign applies and/or ecodesign data available</v>
      </c>
      <c r="D228" s="279" t="str" cm="1">
        <f t="array" aca="1" ref="D228" ca="1">INDIRECT($F228&amp;D$198&amp;"!"&amp;$G228)</f>
        <v>Ecodesign applies and/or ecodesign data available</v>
      </c>
      <c r="E228" s="352" t="str">
        <f t="shared" ca="1" si="14"/>
        <v>Ecodesign applies and/or ecodesign data available</v>
      </c>
      <c r="F228" s="332" t="str">
        <f t="shared" ca="1" si="11"/>
        <v>SpaceStandardsID_</v>
      </c>
      <c r="G228" s="280" t="str">
        <f t="shared" ca="1" si="12"/>
        <v>E31</v>
      </c>
      <c r="H228" s="281" t="str">
        <f t="shared" ca="1" si="13"/>
        <v>SpaceStandardsID_1!E31</v>
      </c>
    </row>
    <row r="229" spans="1:8" ht="84.6" customHeight="1">
      <c r="A229" s="282" t="s">
        <v>445</v>
      </c>
      <c r="B229" s="286" t="str">
        <f>SpaceStandardsID_1!K31</f>
        <v xml:space="preserve">I.S. EN 14825
</v>
      </c>
      <c r="C229" s="279" t="str" cm="1">
        <f t="array" aca="1" ref="C229" ca="1">INDIRECT($F229&amp;C$198&amp;"!"&amp;$G229)</f>
        <v xml:space="preserve">I.S. EN 14825
</v>
      </c>
      <c r="D229" s="279" t="str" cm="1">
        <f t="array" aca="1" ref="D229" ca="1">INDIRECT($F229&amp;D$198&amp;"!"&amp;$G229)</f>
        <v xml:space="preserve">I.S. EN 14825
</v>
      </c>
      <c r="E229" s="352" t="str">
        <f t="shared" ca="1" si="14"/>
        <v xml:space="preserve">I.S. EN 14825
</v>
      </c>
      <c r="F229" s="332" t="str">
        <f t="shared" ca="1" si="11"/>
        <v>SpaceStandardsID_</v>
      </c>
      <c r="G229" s="280" t="str">
        <f t="shared" ca="1" si="12"/>
        <v>K31</v>
      </c>
      <c r="H229" s="281" t="str">
        <f t="shared" ca="1" si="13"/>
        <v>SpaceStandardsID_1!K31</v>
      </c>
    </row>
    <row r="230" spans="1:8">
      <c r="A230" s="276" t="s">
        <v>446</v>
      </c>
    </row>
    <row r="231" spans="1:8" ht="30">
      <c r="A231" s="282" t="s">
        <v>440</v>
      </c>
      <c r="B231" s="286" t="str">
        <f>WaterStandardsID_1!A17</f>
        <v>Valid water heat pump type selected.</v>
      </c>
      <c r="C231" s="279" t="str" cm="1">
        <f t="array" aca="1" ref="C231" ca="1">INDIRECT($F231&amp;C$198&amp;"!"&amp;$G231)</f>
        <v>Valid water heat pump type selected.</v>
      </c>
      <c r="D231" s="279" t="str" cm="1">
        <f t="array" aca="1" ref="D231" ca="1">INDIRECT($F231&amp;D$198&amp;"!"&amp;$G231)</f>
        <v>Valid water heat pump type selected.</v>
      </c>
      <c r="E231" s="352" t="str">
        <f ca="1">VLOOKUP(A231,A231:D231,$G$1+1,FALSE)</f>
        <v>Valid water heat pump type selected.</v>
      </c>
      <c r="F231" s="332" t="str">
        <f t="shared" ref="F231:F235" ca="1" si="15">LEFT(H231,FIND("1",H231)-1)</f>
        <v>WaterStandardsID_</v>
      </c>
      <c r="G231" s="280" t="str">
        <f t="shared" ref="G231:G235" ca="1" si="16">RIGHT(H231,LEN(H231)-FIND("!",H231))</f>
        <v>A17</v>
      </c>
      <c r="H231" s="281" t="str">
        <f t="shared" ref="H231:H235" ca="1" si="17">SUBSTITUTE( _xlfn.FORMULATEXT(B231),"=","")</f>
        <v>WaterStandardsID_1!A17</v>
      </c>
    </row>
    <row r="232" spans="1:8" ht="28.5">
      <c r="A232" s="282" t="s">
        <v>441</v>
      </c>
      <c r="B232" s="286" t="str">
        <f>WaterStandardsID_1!B16</f>
        <v>Air to Water</v>
      </c>
      <c r="C232" s="279" t="str" cm="1">
        <f t="array" aca="1" ref="C232" ca="1">INDIRECT($F232&amp;C$198&amp;"!"&amp;$G232)</f>
        <v>Air to Water</v>
      </c>
      <c r="D232" s="279" t="str" cm="1">
        <f t="array" aca="1" ref="D232" ca="1">INDIRECT($F232&amp;D$198&amp;"!"&amp;$G232)</f>
        <v>Air to Water</v>
      </c>
      <c r="E232" s="352" t="str">
        <f t="shared" ref="E232:E235" ca="1" si="18">VLOOKUP(A232,A232:D232,$G$1+1,FALSE)</f>
        <v>Air to Water</v>
      </c>
      <c r="F232" s="332" t="str">
        <f t="shared" ca="1" si="15"/>
        <v>WaterStandardsID_</v>
      </c>
      <c r="G232" s="280" t="str">
        <f t="shared" ca="1" si="16"/>
        <v>B16</v>
      </c>
      <c r="H232" s="281" t="str">
        <f t="shared" ca="1" si="17"/>
        <v>WaterStandardsID_1!B16</v>
      </c>
    </row>
    <row r="233" spans="1:8" ht="28.5">
      <c r="A233" s="282" t="s">
        <v>442</v>
      </c>
      <c r="B233" s="286" t="str">
        <f>WaterStandardsID_1!C16</f>
        <v>Electricity</v>
      </c>
      <c r="C233" s="279" t="str" cm="1">
        <f t="array" aca="1" ref="C233" ca="1">INDIRECT($F233&amp;C$198&amp;"!"&amp;$G233)</f>
        <v>Electricity</v>
      </c>
      <c r="D233" s="279" t="str" cm="1">
        <f t="array" aca="1" ref="D233" ca="1">INDIRECT($F233&amp;D$198&amp;"!"&amp;$G233)</f>
        <v>Electricity</v>
      </c>
      <c r="E233" s="352" t="str">
        <f t="shared" ca="1" si="18"/>
        <v>Electricity</v>
      </c>
      <c r="F233" s="332" t="str">
        <f t="shared" ca="1" si="15"/>
        <v>WaterStandardsID_</v>
      </c>
      <c r="G233" s="280" t="str">
        <f t="shared" ca="1" si="16"/>
        <v>C16</v>
      </c>
      <c r="H233" s="281" t="str">
        <f t="shared" ca="1" si="17"/>
        <v>WaterStandardsID_1!C16</v>
      </c>
    </row>
    <row r="234" spans="1:8" ht="45">
      <c r="A234" s="282" t="s">
        <v>444</v>
      </c>
      <c r="B234" s="353" t="str">
        <f>WaterStandardsID_1!D16</f>
        <v>Ecodesign applies and/or ecodesign data available</v>
      </c>
      <c r="C234" s="279" t="str" cm="1">
        <f t="array" aca="1" ref="C234" ca="1">INDIRECT($F234&amp;C$198&amp;"!"&amp;$G234)</f>
        <v>Ecodesign applies and/or ecodesign data available</v>
      </c>
      <c r="D234" s="279" t="str" cm="1">
        <f t="array" aca="1" ref="D234" ca="1">INDIRECT($F234&amp;D$198&amp;"!"&amp;$G234)</f>
        <v>Ecodesign applies and/or ecodesign data available</v>
      </c>
      <c r="E234" s="352" t="str">
        <f t="shared" ca="1" si="18"/>
        <v>Ecodesign applies and/or ecodesign data available</v>
      </c>
      <c r="F234" s="332" t="str">
        <f t="shared" ca="1" si="15"/>
        <v>WaterStandardsID_</v>
      </c>
      <c r="G234" s="280" t="str">
        <f t="shared" ca="1" si="16"/>
        <v>D16</v>
      </c>
      <c r="H234" s="281" t="str">
        <f t="shared" ca="1" si="17"/>
        <v>WaterStandardsID_1!D16</v>
      </c>
    </row>
    <row r="235" spans="1:8" ht="90.6" customHeight="1">
      <c r="A235" s="282" t="s">
        <v>445</v>
      </c>
      <c r="B235" s="286" t="str">
        <f>WaterStandardsID_1!J16</f>
        <v>I.S. EN 16147
I.S. EN 14825/14511</v>
      </c>
      <c r="C235" s="279" t="str" cm="1">
        <f t="array" aca="1" ref="C235" ca="1">INDIRECT($F235&amp;C$198&amp;"!"&amp;$G235)</f>
        <v>I.S. EN 16147
I.S. EN 14825/14511</v>
      </c>
      <c r="D235" s="279" t="str" cm="1">
        <f t="array" aca="1" ref="D235" ca="1">INDIRECT($F235&amp;D$198&amp;"!"&amp;$G235)</f>
        <v>I.S. EN 16147
I.S. EN 14825/14511</v>
      </c>
      <c r="E235" s="352" t="str">
        <f t="shared" ca="1" si="18"/>
        <v>I.S. EN 16147
I.S. EN 14825/14511</v>
      </c>
      <c r="F235" s="332" t="str">
        <f t="shared" ca="1" si="15"/>
        <v>WaterStandardsID_</v>
      </c>
      <c r="G235" s="280" t="str">
        <f t="shared" ca="1" si="16"/>
        <v>J16</v>
      </c>
      <c r="H235" s="281" t="str">
        <f t="shared" ca="1" si="17"/>
        <v>WaterStandardsID_1!J16</v>
      </c>
    </row>
  </sheetData>
  <sheetProtection algorithmName="SHA-512" hashValue="y7frYnZ68iF43/B9pxK7cNCc5aAwkZyfpH5BJ0puW+kKwEqgEmUhSMjiNwzB3e38NksWsv6GrDeSfxpNwRZqqg==" saltValue="NTJsPhn92O5KNAdtmRgpYA==" spinCount="100000" sheet="1" objects="1" scenarios="1"/>
  <mergeCells count="72">
    <mergeCell ref="D13:F13"/>
    <mergeCell ref="D2:G2"/>
    <mergeCell ref="D3:G3"/>
    <mergeCell ref="D4:G4"/>
    <mergeCell ref="D5:G5"/>
    <mergeCell ref="D6:G6"/>
    <mergeCell ref="D7:G7"/>
    <mergeCell ref="D8:G8"/>
    <mergeCell ref="C9:I9"/>
    <mergeCell ref="D10:F10"/>
    <mergeCell ref="D11:F11"/>
    <mergeCell ref="D12:F12"/>
    <mergeCell ref="D29:F29"/>
    <mergeCell ref="D14:F14"/>
    <mergeCell ref="D15:F15"/>
    <mergeCell ref="D16:F16"/>
    <mergeCell ref="D17:F17"/>
    <mergeCell ref="D18:F18"/>
    <mergeCell ref="D19:F19"/>
    <mergeCell ref="D22:F22"/>
    <mergeCell ref="D24:F24"/>
    <mergeCell ref="D25:F25"/>
    <mergeCell ref="D26:F26"/>
    <mergeCell ref="D27:F27"/>
    <mergeCell ref="A58:A59"/>
    <mergeCell ref="D31:F31"/>
    <mergeCell ref="D32:F32"/>
    <mergeCell ref="D33:F33"/>
    <mergeCell ref="D35:F35"/>
    <mergeCell ref="A38:A41"/>
    <mergeCell ref="D38:F41"/>
    <mergeCell ref="G38:G41"/>
    <mergeCell ref="D42:F42"/>
    <mergeCell ref="A46:A47"/>
    <mergeCell ref="A50:A51"/>
    <mergeCell ref="A54:A55"/>
    <mergeCell ref="D73:F73"/>
    <mergeCell ref="C62:I62"/>
    <mergeCell ref="D63:F63"/>
    <mergeCell ref="D64:F64"/>
    <mergeCell ref="D65:F65"/>
    <mergeCell ref="D66:F66"/>
    <mergeCell ref="D67:F67"/>
    <mergeCell ref="D68:F68"/>
    <mergeCell ref="D69:F69"/>
    <mergeCell ref="D70:F70"/>
    <mergeCell ref="D71:F71"/>
    <mergeCell ref="D72:F72"/>
    <mergeCell ref="D89:F89"/>
    <mergeCell ref="D74:F74"/>
    <mergeCell ref="D75:F75"/>
    <mergeCell ref="D77:F77"/>
    <mergeCell ref="D80:G80"/>
    <mergeCell ref="D81:F81"/>
    <mergeCell ref="D82:F82"/>
    <mergeCell ref="D84:F84"/>
    <mergeCell ref="D85:F85"/>
    <mergeCell ref="D86:F86"/>
    <mergeCell ref="D87:F87"/>
    <mergeCell ref="D88:F88"/>
    <mergeCell ref="D109:F109"/>
    <mergeCell ref="D90:G90"/>
    <mergeCell ref="D93:F93"/>
    <mergeCell ref="D94:F94"/>
    <mergeCell ref="D95:F95"/>
    <mergeCell ref="D96:F96"/>
    <mergeCell ref="D100:F100"/>
    <mergeCell ref="D101:F101"/>
    <mergeCell ref="D102:F102"/>
    <mergeCell ref="D106:F106"/>
    <mergeCell ref="D107:F107"/>
    <mergeCell ref="D108:F108"/>
  </mergeCells>
  <conditionalFormatting sqref="A38:A41 D38:G41 C42 B42:B43 A45:A47 A49:A55 A57:A59">
    <cfRule type="expression" dxfId="91" priority="33">
      <formula>OR($G$25=$T$3,$B$27=$P$2)</formula>
    </cfRule>
  </conditionalFormatting>
  <conditionalFormatting sqref="A56">
    <cfRule type="expression" dxfId="90" priority="32">
      <formula>$N$10=FALSE</formula>
    </cfRule>
  </conditionalFormatting>
  <conditionalFormatting sqref="A66">
    <cfRule type="expression" dxfId="89" priority="31">
      <formula>$N$11=FALSE</formula>
    </cfRule>
  </conditionalFormatting>
  <conditionalFormatting sqref="A8:G8">
    <cfRule type="expression" dxfId="88" priority="35">
      <formula>$B$5="No"</formula>
    </cfRule>
  </conditionalFormatting>
  <conditionalFormatting sqref="A37:G38 A39:I61 C9 A10:I36">
    <cfRule type="expression" dxfId="87" priority="38">
      <formula>$N$10=FALSE</formula>
    </cfRule>
  </conditionalFormatting>
  <conditionalFormatting sqref="A38:G59">
    <cfRule type="expression" dxfId="86" priority="51">
      <formula>OR($B$14="I.S. EN 14511")</formula>
    </cfRule>
  </conditionalFormatting>
  <conditionalFormatting sqref="B8">
    <cfRule type="expression" dxfId="85" priority="36" stopIfTrue="1">
      <formula>OR($B$14="I.S. EN 14511")</formula>
    </cfRule>
  </conditionalFormatting>
  <conditionalFormatting sqref="B13">
    <cfRule type="expression" dxfId="84" priority="54" stopIfTrue="1">
      <formula>$B$14="I.S. EN 14511"</formula>
    </cfRule>
  </conditionalFormatting>
  <conditionalFormatting sqref="B14">
    <cfRule type="expression" dxfId="83" priority="55" stopIfTrue="1">
      <formula>#REF!="Domestic Hot Water"</formula>
    </cfRule>
  </conditionalFormatting>
  <conditionalFormatting sqref="B15:B16 B32:F36">
    <cfRule type="expression" dxfId="82" priority="56">
      <formula>OR($B$14="I.S. EN 14511")</formula>
    </cfRule>
  </conditionalFormatting>
  <conditionalFormatting sqref="B16">
    <cfRule type="expression" dxfId="81" priority="27">
      <formula>($B$24="Yesnextversion")</formula>
    </cfRule>
  </conditionalFormatting>
  <conditionalFormatting sqref="B17">
    <cfRule type="expression" dxfId="80" priority="41" stopIfTrue="1">
      <formula>OR($B$14="I.S. EN 14511",#REF!="Domestic Hot Water")</formula>
    </cfRule>
  </conditionalFormatting>
  <conditionalFormatting sqref="B19">
    <cfRule type="expression" dxfId="79" priority="58" stopIfTrue="1">
      <formula>#REF!="Domestic Hot Water"</formula>
    </cfRule>
  </conditionalFormatting>
  <conditionalFormatting sqref="B29">
    <cfRule type="expression" dxfId="78" priority="61" stopIfTrue="1">
      <formula>AND($B$14="I.S. EN 14511",$B$68="I.S. EN 14511")</formula>
    </cfRule>
  </conditionalFormatting>
  <conditionalFormatting sqref="B33:B36">
    <cfRule type="expression" dxfId="77" priority="49">
      <formula>$B$32="No"</formula>
    </cfRule>
  </conditionalFormatting>
  <conditionalFormatting sqref="B63:B64">
    <cfRule type="expression" dxfId="76" priority="30">
      <formula>$N$10=FALSE</formula>
    </cfRule>
  </conditionalFormatting>
  <conditionalFormatting sqref="B66">
    <cfRule type="expression" dxfId="75" priority="42" stopIfTrue="1">
      <formula>$B$14="I.S. EN 14511"</formula>
    </cfRule>
  </conditionalFormatting>
  <conditionalFormatting sqref="B68">
    <cfRule type="expression" dxfId="74" priority="43" stopIfTrue="1">
      <formula>#REF!="Space heating"</formula>
    </cfRule>
  </conditionalFormatting>
  <conditionalFormatting sqref="B69">
    <cfRule type="expression" dxfId="73" priority="40" stopIfTrue="1">
      <formula>OR($B$14="I.S. EN 14511",#REF!="Domestic Hot Water")</formula>
    </cfRule>
  </conditionalFormatting>
  <conditionalFormatting sqref="B73">
    <cfRule type="expression" dxfId="72" priority="59" stopIfTrue="1">
      <formula>OR(#REF!="Space Heating",#REF!="I.S. EN 14511",#REF!="I.S. EN 255-3",$B$70="No Hot Water Store")</formula>
    </cfRule>
    <cfRule type="expression" dxfId="71" priority="60" stopIfTrue="1">
      <formula>OR(#REF!="I.S. EN 14511",#REF!="I.S. EN 255-3",#REF!="Space heating",$B$70="No Hot Water Store")</formula>
    </cfRule>
  </conditionalFormatting>
  <conditionalFormatting sqref="B74 B70">
    <cfRule type="expression" dxfId="70" priority="57" stopIfTrue="1">
      <formula>OR(#REF!="Space Heating")</formula>
    </cfRule>
  </conditionalFormatting>
  <conditionalFormatting sqref="B74">
    <cfRule type="expression" dxfId="69" priority="46">
      <formula>#REF!="I.S. EN 14511"</formula>
    </cfRule>
  </conditionalFormatting>
  <conditionalFormatting sqref="B75:B78">
    <cfRule type="expression" dxfId="68" priority="50" stopIfTrue="1">
      <formula>$B$74="No"</formula>
    </cfRule>
  </conditionalFormatting>
  <conditionalFormatting sqref="B81">
    <cfRule type="expression" dxfId="67" priority="44">
      <formula>OR($B$68="I.S. EN 255-3",$B$68="I.S. EN 14511")</formula>
    </cfRule>
  </conditionalFormatting>
  <conditionalFormatting sqref="B82:B89">
    <cfRule type="expression" dxfId="66" priority="45" stopIfTrue="1">
      <formula>OR($B$68="I.S. EN 255-3",$B$68="I.S. EN 14511")</formula>
    </cfRule>
  </conditionalFormatting>
  <conditionalFormatting sqref="B92:B96">
    <cfRule type="expression" dxfId="65" priority="52" stopIfTrue="1">
      <formula>AND($B$14&lt;&gt;"I.S. EN 14511",$B$68&lt;&gt;"I.S. EN 14511")</formula>
    </cfRule>
  </conditionalFormatting>
  <conditionalFormatting sqref="B100:B102">
    <cfRule type="expression" dxfId="64" priority="53" stopIfTrue="1">
      <formula>$B$68&lt;&gt;"I.S. EN 255-3"</formula>
    </cfRule>
  </conditionalFormatting>
  <conditionalFormatting sqref="C38">
    <cfRule type="expression" dxfId="63" priority="34">
      <formula>OR($B$14="I.S. EN 14511")</formula>
    </cfRule>
  </conditionalFormatting>
  <conditionalFormatting sqref="C62 A63:I68 A69:H69 A70:I90 A99:I102">
    <cfRule type="expression" dxfId="62" priority="37">
      <formula>$N$11=FALSE</formula>
    </cfRule>
  </conditionalFormatting>
  <conditionalFormatting sqref="C44:G47">
    <cfRule type="expression" dxfId="61" priority="1">
      <formula>$C$39="No"</formula>
    </cfRule>
  </conditionalFormatting>
  <conditionalFormatting sqref="C48:G51">
    <cfRule type="expression" dxfId="60" priority="48">
      <formula>$C$40="No"</formula>
    </cfRule>
  </conditionalFormatting>
  <conditionalFormatting sqref="C52:G55">
    <cfRule type="expression" dxfId="59" priority="2">
      <formula>$C$38="No"</formula>
    </cfRule>
  </conditionalFormatting>
  <conditionalFormatting sqref="C56:G59">
    <cfRule type="expression" dxfId="58" priority="39">
      <formula>$C$41="No"</formula>
    </cfRule>
  </conditionalFormatting>
  <conditionalFormatting sqref="C9:I9">
    <cfRule type="containsText" dxfId="57" priority="29" operator="containsText" text="Error">
      <formula>NOT(ISERROR(SEARCH("Error",C9)))</formula>
    </cfRule>
  </conditionalFormatting>
  <conditionalFormatting sqref="C62:I62">
    <cfRule type="containsText" dxfId="56" priority="28" operator="containsText" text="ERROR">
      <formula>NOT(ISERROR(SEARCH("ERROR",C62)))</formula>
    </cfRule>
  </conditionalFormatting>
  <conditionalFormatting sqref="D90 D91:F97">
    <cfRule type="expression" dxfId="55" priority="47">
      <formula>OR(#REF!="Space heating",#REF!="I.S. EN 14511",#REF!="I.S. EN 255-3")</formula>
    </cfRule>
  </conditionalFormatting>
  <conditionalFormatting sqref="D14:F14">
    <cfRule type="containsText" dxfId="54" priority="8" operator="containsText" text="ERROR">
      <formula>NOT(ISERROR(SEARCH("ERROR",D14)))</formula>
    </cfRule>
  </conditionalFormatting>
  <conditionalFormatting sqref="D68:F68">
    <cfRule type="containsText" dxfId="53" priority="7" operator="containsText" text="ERROR">
      <formula>NOT(ISERROR(SEARCH("ERROR",D68)))</formula>
    </cfRule>
  </conditionalFormatting>
  <conditionalFormatting sqref="H37:I38">
    <cfRule type="expression" dxfId="52" priority="13">
      <formula>$N$10=FALSE</formula>
    </cfRule>
    <cfRule type="expression" dxfId="51" priority="14">
      <formula>OR($B$14="I.S. EN 14511")</formula>
    </cfRule>
  </conditionalFormatting>
  <conditionalFormatting sqref="I68">
    <cfRule type="expression" dxfId="50" priority="6" stopIfTrue="1">
      <formula>OR($B$14="I.S. EN 14511",#REF!="Domestic Hot Water")</formula>
    </cfRule>
  </conditionalFormatting>
  <conditionalFormatting sqref="J37:J41">
    <cfRule type="expression" dxfId="49" priority="9">
      <formula>$N$10=FALSE</formula>
    </cfRule>
    <cfRule type="expression" dxfId="48" priority="10">
      <formula>OR($B$14="I.S. EN 14511")</formula>
    </cfRule>
  </conditionalFormatting>
  <conditionalFormatting sqref="J67:J68">
    <cfRule type="expression" dxfId="47" priority="3">
      <formula>$N$11=FALSE</formula>
    </cfRule>
  </conditionalFormatting>
  <conditionalFormatting sqref="J68">
    <cfRule type="expression" dxfId="46" priority="4" stopIfTrue="1">
      <formula>OR($B$14="I.S. EN 14511",#REF!="Domestic Hot Water")</formula>
    </cfRule>
  </conditionalFormatting>
  <dataValidations count="18">
    <dataValidation type="list" allowBlank="1" showInputMessage="1" showErrorMessage="1" sqref="G64" xr:uid="{AA5276F3-2ECC-4F83-9CB6-34C101D30837}">
      <formula1>$T$2:$T$2</formula1>
    </dataValidation>
    <dataValidation type="list" allowBlank="1" showInputMessage="1" showErrorMessage="1" sqref="B14" xr:uid="{9C0E1AFE-479A-4EDE-8774-07C3418FBD51}">
      <formula1>$N$1:$N$4</formula1>
    </dataValidation>
    <dataValidation type="list" allowBlank="1" showInputMessage="1" showErrorMessage="1" sqref="B68" xr:uid="{9D82263C-8DDA-489E-BC99-7277F61F016C}">
      <formula1>$N$4:$N$8</formula1>
    </dataValidation>
    <dataValidation type="list" allowBlank="1" showInputMessage="1" showErrorMessage="1" sqref="B12" xr:uid="{CC7F3232-CA09-439A-89C8-917A045A54B9}">
      <formula1>$S$1:$S$9</formula1>
    </dataValidation>
    <dataValidation type="list" allowBlank="1" showInputMessage="1" showErrorMessage="1" sqref="B65" xr:uid="{4D2D13BA-F5D0-473D-9EDB-F0AE26E64847}">
      <formula1>$S$1:$S$5</formula1>
    </dataValidation>
    <dataValidation type="list" allowBlank="1" showInputMessage="1" showErrorMessage="1" sqref="G10" xr:uid="{FFF582F1-FDA0-4539-8631-39333EF65CFF}">
      <formula1>$R$1:$R$2</formula1>
    </dataValidation>
    <dataValidation type="list" allowBlank="1" showInputMessage="1" showErrorMessage="1" sqref="G11 G63" xr:uid="{813928CE-8607-4624-B974-48E0C73C8B9C}">
      <formula1>$Q$2:$Q$3</formula1>
    </dataValidation>
    <dataValidation type="list" allowBlank="1" showInputMessage="1" showErrorMessage="1" sqref="G12" xr:uid="{21D2539E-F2C1-44BB-9533-AD89820345EE}">
      <formula1>$T$2:$T$3</formula1>
    </dataValidation>
    <dataValidation type="list" allowBlank="1" showInputMessage="1" showErrorMessage="1" sqref="B94:B96 B32 B92 C38:C41 B74 B21:B23" xr:uid="{781CAD10-174A-429F-9EDF-ABBDC5DB870D}">
      <formula1>$AB$1:$AB$2</formula1>
    </dataValidation>
    <dataValidation allowBlank="1" showInputMessage="1" showErrorMessage="1" errorTitle="Design Flow Temperature" error="The design flow temperature must be between 35oC and 55oC" sqref="B20" xr:uid="{BCAFB758-B665-4FDC-80FC-07EB1D1F5C72}"/>
    <dataValidation type="decimal" allowBlank="1" showInputMessage="1" showErrorMessage="1" errorTitle="Design Flow Temperature" error="The design flow temperature must be between 20oC and 65oC" sqref="B25" xr:uid="{C96F84D1-14E1-46E9-9230-D98C385811EA}">
      <formula1>20</formula1>
      <formula2>65</formula2>
    </dataValidation>
    <dataValidation type="list" allowBlank="1" showInputMessage="1" showErrorMessage="1" sqref="B67" xr:uid="{AE08129B-5EAD-48E9-BF35-F76CDBB2DA94}">
      <formula1>$P$2:$P$3</formula1>
    </dataValidation>
    <dataValidation type="list" allowBlank="1" showInputMessage="1" showErrorMessage="1" sqref="B13 B66" xr:uid="{56B9A6E9-DFFF-4129-8068-E27A6FC729AF}">
      <formula1>$Z$1:$Z$2</formula1>
    </dataValidation>
    <dataValidation type="list" allowBlank="1" showInputMessage="1" showErrorMessage="1" sqref="B33 B75" xr:uid="{E0307F0F-289F-465C-BA8C-F3C6DF9F26D2}">
      <formula1>$W$2:$W$12</formula1>
    </dataValidation>
    <dataValidation type="list" allowBlank="1" showInputMessage="1" showErrorMessage="1" sqref="B70" xr:uid="{F3AA564E-2ECC-427D-A3E4-D97358D10407}">
      <formula1>$AG$1:$AG$4</formula1>
    </dataValidation>
    <dataValidation type="list" allowBlank="1" showInputMessage="1" showErrorMessage="1" sqref="B29" xr:uid="{3759558E-B61E-4F0C-AF53-7E24B5912539}">
      <formula1>$AP$1:$AP$3</formula1>
    </dataValidation>
    <dataValidation type="list" allowBlank="1" showInputMessage="1" showErrorMessage="1" sqref="B87" xr:uid="{01C20FC5-D596-4DDE-898E-4420E58AF1A6}">
      <formula1>$AL$1:$AL$11</formula1>
    </dataValidation>
    <dataValidation type="list" allowBlank="1" showInputMessage="1" showErrorMessage="1" sqref="B81" xr:uid="{E7FE93E0-8804-4C90-80C4-38CB6AF09973}">
      <formula1>$AR$1:$AR$2</formula1>
    </dataValidation>
  </dataValidations>
  <pageMargins left="0.75" right="0.75" top="1" bottom="1" header="0.5" footer="0.5"/>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04437-FBA8-47E1-9930-E86923A91849}">
  <dimension ref="A1:FA235"/>
  <sheetViews>
    <sheetView topLeftCell="B123" zoomScale="70" zoomScaleNormal="70" workbookViewId="0">
      <selection activeCell="G128" sqref="G128"/>
    </sheetView>
  </sheetViews>
  <sheetFormatPr defaultColWidth="9.140625" defaultRowHeight="15.75"/>
  <cols>
    <col min="1" max="1" width="68.42578125" style="26" customWidth="1"/>
    <col min="2" max="2" width="46" style="26" customWidth="1"/>
    <col min="3" max="3" width="23.42578125" style="26" customWidth="1"/>
    <col min="4" max="4" width="18.5703125" style="27" customWidth="1"/>
    <col min="5" max="5" width="20.85546875" style="27" customWidth="1"/>
    <col min="6" max="6" width="15.5703125" style="27" customWidth="1"/>
    <col min="7" max="7" width="51.5703125" style="26" customWidth="1"/>
    <col min="8" max="8" width="27.42578125" style="27" customWidth="1"/>
    <col min="9" max="9" width="25.5703125" style="29" customWidth="1"/>
    <col min="10" max="10" width="27.85546875" style="26" customWidth="1"/>
    <col min="11" max="13" width="25.5703125" style="29" customWidth="1"/>
    <col min="14" max="14" width="29.140625" style="26" bestFit="1" customWidth="1"/>
    <col min="15" max="15" width="9.140625" style="26"/>
    <col min="16" max="16" width="42.42578125" style="26" bestFit="1" customWidth="1"/>
    <col min="17" max="17" width="20.42578125" style="26" bestFit="1" customWidth="1"/>
    <col min="18" max="18" width="38.42578125" style="26" customWidth="1"/>
    <col min="19" max="19" width="24.42578125" style="26" bestFit="1" customWidth="1"/>
    <col min="20" max="20" width="33" style="26" bestFit="1" customWidth="1"/>
    <col min="21" max="21" width="40.5703125" style="26" bestFit="1" customWidth="1"/>
    <col min="22" max="22" width="9.140625" style="26"/>
    <col min="23" max="23" width="35.5703125" style="26" customWidth="1"/>
    <col min="24" max="25" width="9.140625" style="26"/>
    <col min="26" max="26" width="17.140625" style="26" bestFit="1" customWidth="1"/>
    <col min="27" max="29" width="9.140625" style="26"/>
    <col min="30" max="30" width="26.5703125" style="26" bestFit="1" customWidth="1"/>
    <col min="31" max="31" width="16.85546875" style="26" customWidth="1"/>
    <col min="32" max="32" width="9.140625" style="26"/>
    <col min="33" max="33" width="44.5703125" style="26" bestFit="1" customWidth="1"/>
    <col min="34" max="38" width="9.140625" style="26"/>
    <col min="39" max="39" width="9.5703125" style="26" bestFit="1" customWidth="1"/>
    <col min="40" max="40" width="9.85546875" style="26" customWidth="1"/>
    <col min="41" max="41" width="9.140625" style="26"/>
    <col min="42" max="42" width="3.5703125" style="26" bestFit="1" customWidth="1"/>
    <col min="43" max="43" width="9.140625" style="26"/>
    <col min="44" max="44" width="41.42578125" style="26" bestFit="1" customWidth="1"/>
    <col min="45" max="16384" width="9.140625" style="26"/>
  </cols>
  <sheetData>
    <row r="1" spans="1:157" ht="24.75" customHeight="1" thickBot="1">
      <c r="A1" s="4" t="s">
        <v>199</v>
      </c>
      <c r="B1" s="4"/>
      <c r="C1" s="4"/>
      <c r="D1" s="104"/>
      <c r="E1" s="104"/>
      <c r="F1" s="258" t="s">
        <v>200</v>
      </c>
      <c r="G1" s="259">
        <v>3</v>
      </c>
      <c r="H1" s="104"/>
      <c r="I1" s="104"/>
      <c r="J1" s="37"/>
      <c r="K1" s="36"/>
      <c r="L1" s="37"/>
      <c r="M1" s="36"/>
      <c r="N1" s="130" t="s">
        <v>201</v>
      </c>
      <c r="O1" s="136" t="s">
        <v>134</v>
      </c>
      <c r="P1" s="138" t="s">
        <v>202</v>
      </c>
      <c r="Q1" s="136" t="s">
        <v>203</v>
      </c>
      <c r="R1" s="137" t="s">
        <v>204</v>
      </c>
      <c r="S1" s="136" t="s">
        <v>205</v>
      </c>
      <c r="T1" s="141" t="s">
        <v>206</v>
      </c>
      <c r="U1" s="144" t="s">
        <v>207</v>
      </c>
      <c r="V1" s="32"/>
      <c r="W1" s="147" t="s">
        <v>208</v>
      </c>
      <c r="X1" s="148"/>
      <c r="Y1" s="32"/>
      <c r="Z1" s="136" t="s">
        <v>209</v>
      </c>
      <c r="AA1" s="32"/>
      <c r="AB1" s="136" t="s">
        <v>134</v>
      </c>
      <c r="AC1" s="32"/>
      <c r="AD1" s="129" t="s">
        <v>210</v>
      </c>
      <c r="AE1" s="129" t="s">
        <v>211</v>
      </c>
      <c r="AF1" s="32"/>
      <c r="AG1" s="136" t="s">
        <v>212</v>
      </c>
      <c r="AH1" s="32"/>
      <c r="AI1" s="32"/>
      <c r="AJ1" s="32"/>
      <c r="AK1" s="32"/>
      <c r="AL1" s="154" t="s">
        <v>213</v>
      </c>
      <c r="AM1" s="157" t="s">
        <v>214</v>
      </c>
      <c r="AN1" s="148">
        <f>IF(OR(B14=N1,B14=N2),IF(D24="",0,1),0)</f>
        <v>0</v>
      </c>
      <c r="AO1" s="32"/>
      <c r="AP1" s="136">
        <v>8</v>
      </c>
      <c r="AQ1" s="32"/>
      <c r="AR1" s="136" t="s">
        <v>215</v>
      </c>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row>
    <row r="2" spans="1:157" ht="36.6" customHeight="1" thickBot="1">
      <c r="A2" s="109" t="s">
        <v>84</v>
      </c>
      <c r="B2" s="109" t="s">
        <v>85</v>
      </c>
      <c r="C2" s="109" t="s">
        <v>86</v>
      </c>
      <c r="D2" s="690" t="s">
        <v>87</v>
      </c>
      <c r="E2" s="690"/>
      <c r="F2" s="690"/>
      <c r="G2" s="690"/>
      <c r="H2" s="34"/>
      <c r="I2" s="110"/>
      <c r="J2" s="33"/>
      <c r="K2" s="30"/>
      <c r="L2" s="30"/>
      <c r="M2" s="30"/>
      <c r="N2" s="131" t="s">
        <v>216</v>
      </c>
      <c r="O2" s="135" t="s">
        <v>107</v>
      </c>
      <c r="P2" s="139" t="s">
        <v>217</v>
      </c>
      <c r="Q2" s="134" t="s">
        <v>218</v>
      </c>
      <c r="R2" s="167" t="s">
        <v>219</v>
      </c>
      <c r="S2" s="134" t="s">
        <v>220</v>
      </c>
      <c r="T2" s="142" t="s">
        <v>221</v>
      </c>
      <c r="U2" s="145" t="s">
        <v>222</v>
      </c>
      <c r="V2" s="32"/>
      <c r="W2" s="149" t="s">
        <v>218</v>
      </c>
      <c r="X2" s="268">
        <f>DEAPEntries!B11</f>
        <v>1.75</v>
      </c>
      <c r="Y2" s="32"/>
      <c r="Z2" s="135" t="s">
        <v>223</v>
      </c>
      <c r="AA2" s="32"/>
      <c r="AB2" s="135" t="s">
        <v>107</v>
      </c>
      <c r="AC2" s="32"/>
      <c r="AD2" s="134" t="s">
        <v>224</v>
      </c>
      <c r="AE2" s="168" t="str">
        <f>SUBSTITUTE(AD2," Temperature","")</f>
        <v>Low</v>
      </c>
      <c r="AF2" s="32"/>
      <c r="AG2" s="134" t="s">
        <v>225</v>
      </c>
      <c r="AH2" s="32"/>
      <c r="AI2" s="32"/>
      <c r="AJ2" s="32"/>
      <c r="AK2" s="32"/>
      <c r="AL2" s="155" t="s">
        <v>226</v>
      </c>
      <c r="AM2" s="151"/>
      <c r="AN2" s="150">
        <f>IF(OR(B14=N1,B14=N2),IF(D42="",0,1),0)</f>
        <v>0</v>
      </c>
      <c r="AO2" s="32"/>
      <c r="AP2" s="134">
        <v>16</v>
      </c>
      <c r="AQ2" s="32"/>
      <c r="AR2" s="135" t="s">
        <v>227</v>
      </c>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row>
    <row r="3" spans="1:157" ht="35.25" customHeight="1" thickBot="1">
      <c r="A3" s="363" t="s">
        <v>88</v>
      </c>
      <c r="B3" s="364">
        <f>DEAPEntries!B3</f>
        <v>0</v>
      </c>
      <c r="C3" s="414" t="s">
        <v>89</v>
      </c>
      <c r="D3" s="680" t="str">
        <f>DEAPEntries!F3</f>
        <v>Sourced from DEAP  "results" tab (or DEAP workbook Fab tab). This is the sum of heat losses from fabric + ventilation + windows</v>
      </c>
      <c r="E3" s="680"/>
      <c r="F3" s="680"/>
      <c r="G3" s="680"/>
      <c r="H3" s="34"/>
      <c r="I3" s="30"/>
      <c r="J3" s="33"/>
      <c r="K3" s="30"/>
      <c r="L3" s="30"/>
      <c r="M3" s="30"/>
      <c r="N3" s="131" t="s">
        <v>228</v>
      </c>
      <c r="O3" s="32"/>
      <c r="P3" s="140" t="s">
        <v>229</v>
      </c>
      <c r="Q3" s="135" t="s">
        <v>230</v>
      </c>
      <c r="R3" s="32"/>
      <c r="S3" s="134" t="s">
        <v>231</v>
      </c>
      <c r="T3" s="143" t="s">
        <v>232</v>
      </c>
      <c r="U3" s="145" t="s">
        <v>233</v>
      </c>
      <c r="V3" s="32"/>
      <c r="W3" s="149" t="s">
        <v>234</v>
      </c>
      <c r="X3" s="150">
        <v>1.1000000000000001</v>
      </c>
      <c r="Y3" s="32"/>
      <c r="Z3" s="32"/>
      <c r="AA3" s="32"/>
      <c r="AB3" s="32"/>
      <c r="AC3" s="32"/>
      <c r="AD3" s="134" t="s">
        <v>235</v>
      </c>
      <c r="AE3" s="168" t="str">
        <f t="shared" ref="AE3:AE5" si="0">SUBSTITUTE(AD3," Temperature","")</f>
        <v>Medium</v>
      </c>
      <c r="AF3" s="32"/>
      <c r="AG3" s="134" t="s">
        <v>236</v>
      </c>
      <c r="AH3" s="32"/>
      <c r="AI3" s="32"/>
      <c r="AJ3" s="32"/>
      <c r="AK3" s="32"/>
      <c r="AL3" s="155" t="s">
        <v>237</v>
      </c>
      <c r="AN3" s="150">
        <f ca="1">IF(ISNUMBER(SEARCH("ERROR",C9&amp;C62&amp;D14&amp;D68&amp;G18)),1,0)</f>
        <v>0</v>
      </c>
      <c r="AO3" s="32"/>
      <c r="AP3" s="135">
        <v>24</v>
      </c>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row>
    <row r="4" spans="1:157" ht="39" customHeight="1" thickBot="1">
      <c r="A4" s="365" t="s">
        <v>238</v>
      </c>
      <c r="B4" s="366" t="str">
        <f>IFERROR(IF(B5="No",(B3*B6*(B19-B18)),(B3*B6/B7)*B8*(B19-B18))*(1-DEAPEntries!B8),"Please complete DEAPEntries tab")</f>
        <v>Please complete DEAPEntries tab</v>
      </c>
      <c r="C4" s="414" t="s">
        <v>239</v>
      </c>
      <c r="D4" s="680" t="s">
        <v>240</v>
      </c>
      <c r="E4" s="680"/>
      <c r="F4" s="680"/>
      <c r="G4" s="680"/>
      <c r="H4" s="34"/>
      <c r="I4" s="30"/>
      <c r="J4" s="33"/>
      <c r="K4" s="30"/>
      <c r="L4" s="30"/>
      <c r="M4" s="30"/>
      <c r="N4" s="131" t="s">
        <v>241</v>
      </c>
      <c r="O4" s="32"/>
      <c r="P4" s="32"/>
      <c r="Q4" s="32"/>
      <c r="R4" s="32"/>
      <c r="S4" s="134" t="s">
        <v>242</v>
      </c>
      <c r="T4" s="32"/>
      <c r="U4" s="145" t="s">
        <v>243</v>
      </c>
      <c r="V4" s="32"/>
      <c r="W4" s="149" t="s">
        <v>244</v>
      </c>
      <c r="X4" s="150">
        <v>1.1000000000000001</v>
      </c>
      <c r="Y4" s="32"/>
      <c r="Z4" s="32"/>
      <c r="AA4" s="32"/>
      <c r="AB4" s="32"/>
      <c r="AC4" s="32"/>
      <c r="AD4" s="134" t="s">
        <v>245</v>
      </c>
      <c r="AE4" s="168" t="str">
        <f t="shared" si="0"/>
        <v>High</v>
      </c>
      <c r="AF4" s="32"/>
      <c r="AG4" s="135" t="s">
        <v>246</v>
      </c>
      <c r="AH4" s="32"/>
      <c r="AI4" s="32"/>
      <c r="AJ4" s="32"/>
      <c r="AK4" s="32"/>
      <c r="AL4" s="155" t="s">
        <v>247</v>
      </c>
      <c r="AM4" s="152"/>
      <c r="AN4" s="153">
        <f ca="1">SUM(AN1:AN3)</f>
        <v>0</v>
      </c>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row>
    <row r="5" spans="1:157" ht="45.6" customHeight="1" thickBot="1">
      <c r="A5" s="365" t="s">
        <v>248</v>
      </c>
      <c r="B5" s="367" t="str">
        <f>E194</f>
        <v>No</v>
      </c>
      <c r="C5" s="414"/>
      <c r="D5" s="680"/>
      <c r="E5" s="680"/>
      <c r="F5" s="680"/>
      <c r="G5" s="680"/>
      <c r="H5" s="34"/>
      <c r="I5" s="30"/>
      <c r="J5" s="33"/>
      <c r="K5" s="30"/>
      <c r="L5" s="30"/>
      <c r="M5" s="30"/>
      <c r="N5" s="131" t="s">
        <v>249</v>
      </c>
      <c r="O5" s="32"/>
      <c r="P5" s="32"/>
      <c r="Q5" s="32"/>
      <c r="R5" s="32"/>
      <c r="S5" s="134" t="s">
        <v>250</v>
      </c>
      <c r="T5" s="32"/>
      <c r="U5" s="146" t="s">
        <v>251</v>
      </c>
      <c r="V5" s="32"/>
      <c r="W5" s="149" t="s">
        <v>252</v>
      </c>
      <c r="X5" s="150">
        <v>1.1000000000000001</v>
      </c>
      <c r="Y5" s="32"/>
      <c r="Z5" s="32"/>
      <c r="AA5" s="32"/>
      <c r="AB5" s="32"/>
      <c r="AC5" s="32"/>
      <c r="AD5" s="135" t="s">
        <v>253</v>
      </c>
      <c r="AE5" s="169" t="str">
        <f t="shared" si="0"/>
        <v>Very high</v>
      </c>
      <c r="AF5" s="32"/>
      <c r="AG5" s="32"/>
      <c r="AH5" s="32"/>
      <c r="AI5" s="32"/>
      <c r="AJ5" s="32"/>
      <c r="AK5" s="32"/>
      <c r="AL5" s="155" t="s">
        <v>254</v>
      </c>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row>
    <row r="6" spans="1:157" ht="63.6" customHeight="1">
      <c r="A6" s="365" t="s">
        <v>255</v>
      </c>
      <c r="B6" s="368">
        <f>E191</f>
        <v>0</v>
      </c>
      <c r="C6" s="414" t="s">
        <v>100</v>
      </c>
      <c r="D6" s="686"/>
      <c r="E6" s="686"/>
      <c r="F6" s="686"/>
      <c r="G6" s="686"/>
      <c r="H6" s="34"/>
      <c r="I6" s="30"/>
      <c r="J6" s="33"/>
      <c r="K6" s="30"/>
      <c r="L6" s="30"/>
      <c r="M6" s="30"/>
      <c r="N6" s="131" t="s">
        <v>241</v>
      </c>
      <c r="O6" s="32"/>
      <c r="P6" s="32"/>
      <c r="Q6" s="32"/>
      <c r="S6" s="134" t="s">
        <v>256</v>
      </c>
      <c r="T6" s="32"/>
      <c r="U6" s="26" t="s">
        <v>23</v>
      </c>
      <c r="V6" s="32"/>
      <c r="W6" s="149" t="s">
        <v>257</v>
      </c>
      <c r="X6" s="150">
        <v>1.3</v>
      </c>
      <c r="Y6" s="32"/>
      <c r="Z6" s="32"/>
      <c r="AA6" s="32"/>
      <c r="AB6" s="32"/>
      <c r="AC6" s="32"/>
      <c r="AE6" s="32"/>
      <c r="AF6" s="32"/>
      <c r="AG6" s="32"/>
      <c r="AH6" s="32"/>
      <c r="AI6" s="32"/>
      <c r="AJ6" s="32"/>
      <c r="AK6" s="32"/>
      <c r="AL6" s="155" t="s">
        <v>258</v>
      </c>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row>
    <row r="7" spans="1:157" ht="30" customHeight="1">
      <c r="A7" s="365" t="s">
        <v>95</v>
      </c>
      <c r="B7" s="369">
        <f>DEAPEntries!B5</f>
        <v>0</v>
      </c>
      <c r="C7" s="414" t="s">
        <v>259</v>
      </c>
      <c r="D7" s="680" t="str">
        <f>DEAPEntries!F5</f>
        <v>Sourced from DEAP: Building: Floors tab (or Dim tab in DEAP workbook)</v>
      </c>
      <c r="E7" s="680">
        <f>DEAPEntries!G5</f>
        <v>0</v>
      </c>
      <c r="F7" s="680">
        <f>DEAPEntries!H5</f>
        <v>0</v>
      </c>
      <c r="G7" s="680">
        <f>DEAPEntries!I5</f>
        <v>0</v>
      </c>
      <c r="H7" s="34"/>
      <c r="I7" s="30"/>
      <c r="J7" s="33"/>
      <c r="K7" s="30"/>
      <c r="L7" s="30"/>
      <c r="M7" s="30"/>
      <c r="N7" s="131" t="s">
        <v>260</v>
      </c>
      <c r="O7" s="32"/>
      <c r="P7" s="32"/>
      <c r="Q7" s="32"/>
      <c r="S7" s="134" t="s">
        <v>261</v>
      </c>
      <c r="T7" s="32"/>
      <c r="V7" s="32"/>
      <c r="W7" s="149" t="s">
        <v>262</v>
      </c>
      <c r="X7" s="150">
        <v>1.34</v>
      </c>
      <c r="Y7" s="32"/>
      <c r="Z7" s="32"/>
      <c r="AA7" s="32"/>
      <c r="AB7" s="32"/>
      <c r="AC7" s="32"/>
      <c r="AE7" s="32"/>
      <c r="AF7" s="32"/>
      <c r="AG7" s="32"/>
      <c r="AH7" s="32"/>
      <c r="AI7" s="32"/>
      <c r="AJ7" s="32"/>
      <c r="AK7" s="32"/>
      <c r="AL7" s="155" t="s">
        <v>263</v>
      </c>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row>
    <row r="8" spans="1:157" ht="30" customHeight="1" thickBot="1">
      <c r="A8" s="370" t="s">
        <v>264</v>
      </c>
      <c r="B8" s="371"/>
      <c r="C8" s="414" t="s">
        <v>259</v>
      </c>
      <c r="D8" s="680" t="s">
        <v>265</v>
      </c>
      <c r="E8" s="680" t="e">
        <f>DEAPEntries!#REF!</f>
        <v>#REF!</v>
      </c>
      <c r="F8" s="680" t="e">
        <f>DEAPEntries!#REF!</f>
        <v>#REF!</v>
      </c>
      <c r="G8" s="680" t="e">
        <f>DEAPEntries!#REF!</f>
        <v>#REF!</v>
      </c>
      <c r="H8" s="34"/>
      <c r="I8" s="30"/>
      <c r="J8" s="33"/>
      <c r="K8" s="30"/>
      <c r="L8" s="30"/>
      <c r="M8" s="30"/>
      <c r="N8" s="132" t="s">
        <v>266</v>
      </c>
      <c r="O8" s="32"/>
      <c r="P8" s="32"/>
      <c r="Q8" s="32"/>
      <c r="S8" s="134" t="s">
        <v>267</v>
      </c>
      <c r="T8" s="32"/>
      <c r="V8" s="32"/>
      <c r="W8" s="149" t="s">
        <v>268</v>
      </c>
      <c r="X8" s="150">
        <v>1.1000000000000001</v>
      </c>
      <c r="Y8" s="32"/>
      <c r="Z8" s="32"/>
      <c r="AA8" s="32"/>
      <c r="AB8" s="32"/>
      <c r="AC8" s="32"/>
      <c r="AD8" s="32"/>
      <c r="AE8" s="32"/>
      <c r="AF8" s="32"/>
      <c r="AG8" s="32"/>
      <c r="AH8" s="32"/>
      <c r="AI8" s="32"/>
      <c r="AJ8" s="32"/>
      <c r="AK8" s="32"/>
      <c r="AL8" s="155" t="s">
        <v>269</v>
      </c>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row>
    <row r="9" spans="1:157" ht="30" customHeight="1" thickBot="1">
      <c r="A9" s="372" t="str">
        <f>IF(N10=FALSE,"No heat Pump for Space Heating - PROCEED TO WATER HEATING","Heat Pump for Space Heating")</f>
        <v>Heat Pump for Space Heating</v>
      </c>
      <c r="B9" s="372"/>
      <c r="C9" s="683" t="str">
        <f ca="1">IF(N10,E224,".")</f>
        <v>Valid space heat pump type selected.</v>
      </c>
      <c r="D9" s="684"/>
      <c r="E9" s="684"/>
      <c r="F9" s="684"/>
      <c r="G9" s="714"/>
      <c r="H9" s="684"/>
      <c r="I9" s="685"/>
      <c r="J9" s="33"/>
      <c r="K9" s="30"/>
      <c r="L9" s="30"/>
      <c r="M9" s="30"/>
      <c r="N9" s="32" t="s">
        <v>270</v>
      </c>
      <c r="O9" s="32"/>
      <c r="P9" s="32"/>
      <c r="Q9" s="32"/>
      <c r="R9" s="32"/>
      <c r="S9" s="135" t="s">
        <v>271</v>
      </c>
      <c r="T9" s="32"/>
      <c r="U9" s="32"/>
      <c r="V9" s="32"/>
      <c r="W9" s="151" t="s">
        <v>272</v>
      </c>
      <c r="X9" s="150">
        <v>1.2</v>
      </c>
      <c r="Y9" s="32"/>
      <c r="Z9" s="32"/>
      <c r="AA9" s="32"/>
      <c r="AB9" s="32"/>
      <c r="AC9" s="32"/>
      <c r="AD9" s="32"/>
      <c r="AE9" s="32"/>
      <c r="AF9" s="32"/>
      <c r="AG9" s="32"/>
      <c r="AH9" s="32"/>
      <c r="AI9" s="32"/>
      <c r="AJ9" s="32"/>
      <c r="AK9" s="32"/>
      <c r="AL9" s="155" t="s">
        <v>273</v>
      </c>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row>
    <row r="10" spans="1:157" ht="30" customHeight="1" thickBot="1">
      <c r="A10" s="363" t="s">
        <v>274</v>
      </c>
      <c r="B10" s="373"/>
      <c r="D10" s="697" t="s">
        <v>275</v>
      </c>
      <c r="E10" s="697"/>
      <c r="F10" s="697"/>
      <c r="G10" s="127" t="s">
        <v>219</v>
      </c>
      <c r="H10" s="34"/>
      <c r="I10" s="30"/>
      <c r="J10" s="33"/>
      <c r="K10" s="30"/>
      <c r="L10" s="30"/>
      <c r="M10" s="30"/>
      <c r="N10" s="117" t="b">
        <f>M189</f>
        <v>1</v>
      </c>
      <c r="O10" s="32" t="s">
        <v>122</v>
      </c>
      <c r="P10" s="32"/>
      <c r="Q10" s="32"/>
      <c r="R10" s="32"/>
      <c r="S10" s="32"/>
      <c r="T10" s="32"/>
      <c r="U10" s="32"/>
      <c r="V10" s="32"/>
      <c r="W10" s="151" t="s">
        <v>276</v>
      </c>
      <c r="X10" s="150">
        <v>1.1000000000000001</v>
      </c>
      <c r="Y10" s="32"/>
      <c r="Z10" s="32"/>
      <c r="AA10" s="32"/>
      <c r="AB10" s="32"/>
      <c r="AC10" s="32"/>
      <c r="AD10" s="32"/>
      <c r="AE10" s="32"/>
      <c r="AF10" s="32"/>
      <c r="AG10" s="32"/>
      <c r="AH10" s="32"/>
      <c r="AI10" s="32"/>
      <c r="AJ10" s="32"/>
      <c r="AK10" s="32"/>
      <c r="AL10" s="156" t="s">
        <v>277</v>
      </c>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row>
    <row r="11" spans="1:157" ht="30" customHeight="1">
      <c r="A11" s="365" t="s">
        <v>278</v>
      </c>
      <c r="B11" s="374"/>
      <c r="D11" s="698" t="s">
        <v>279</v>
      </c>
      <c r="E11" s="698"/>
      <c r="F11" s="698"/>
      <c r="G11" s="127" t="s">
        <v>218</v>
      </c>
      <c r="H11" s="34"/>
      <c r="I11" s="30"/>
      <c r="J11" s="33"/>
      <c r="K11" s="30"/>
      <c r="L11" s="30"/>
      <c r="M11" s="30"/>
      <c r="N11" s="117" t="b">
        <f>M190</f>
        <v>1</v>
      </c>
      <c r="O11" s="32" t="s">
        <v>124</v>
      </c>
      <c r="P11" s="32"/>
      <c r="Q11" s="32"/>
      <c r="R11" s="32"/>
      <c r="S11" s="32"/>
      <c r="T11" s="32"/>
      <c r="U11" s="32"/>
      <c r="V11" s="32"/>
      <c r="W11" s="151" t="s">
        <v>280</v>
      </c>
      <c r="X11" s="150">
        <v>1.1000000000000001</v>
      </c>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row>
    <row r="12" spans="1:157" ht="126.6" customHeight="1" thickBot="1">
      <c r="A12" s="365" t="s">
        <v>281</v>
      </c>
      <c r="B12" s="374" t="s">
        <v>205</v>
      </c>
      <c r="C12" s="112" t="str">
        <f>IF(E189="Exhaust Air Heat Pump",
IF(LEFT(B12,7)&lt;&gt;"Exhaust","Warning: Type of heat pump selected here and in DEAPEntries tab do not match. 
Check entries",""),
IF(LEFT(B12,7)="Exhaust","Warning: Type of heat pump selected here and in DEAPEntries tab do not match. 
Check entries",""))</f>
        <v/>
      </c>
      <c r="D12" s="698" t="s">
        <v>282</v>
      </c>
      <c r="E12" s="698"/>
      <c r="F12" s="698"/>
      <c r="G12" s="128" t="s">
        <v>221</v>
      </c>
      <c r="H12" s="34"/>
      <c r="I12" s="30"/>
      <c r="J12" s="33"/>
      <c r="K12" s="30"/>
      <c r="L12" s="30"/>
      <c r="M12" s="30"/>
      <c r="N12" s="117" t="b">
        <f>IF(AND(N10=TRUE,N11=TRUE,$B$14&lt;&gt;$N$3),IF(B67="Same Heat Pump providing Space Heating and Domestic Hot Water",TRUE,FALSE),FALSE)</f>
        <v>1</v>
      </c>
      <c r="O12" s="32" t="s">
        <v>283</v>
      </c>
      <c r="P12" s="32"/>
      <c r="Q12" s="32"/>
      <c r="R12" s="32"/>
      <c r="S12" s="32"/>
      <c r="T12" s="32"/>
      <c r="U12" s="32"/>
      <c r="V12" s="32"/>
      <c r="W12" s="152" t="s">
        <v>284</v>
      </c>
      <c r="X12" s="153">
        <v>1.1000000000000001</v>
      </c>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row>
    <row r="13" spans="1:157" ht="78.599999999999994" customHeight="1">
      <c r="A13" s="365" t="s">
        <v>285</v>
      </c>
      <c r="B13" s="374" t="s">
        <v>209</v>
      </c>
      <c r="D13" s="680" t="s">
        <v>286</v>
      </c>
      <c r="E13" s="680"/>
      <c r="F13" s="680"/>
      <c r="G13" s="224" t="s">
        <v>287</v>
      </c>
      <c r="H13" s="34"/>
      <c r="I13" s="30"/>
      <c r="J13" s="33"/>
      <c r="K13" s="30"/>
      <c r="L13" s="30"/>
      <c r="M13" s="3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row>
    <row r="14" spans="1:157" ht="122.1" customHeight="1">
      <c r="A14" s="365" t="s">
        <v>288</v>
      </c>
      <c r="B14" s="375" t="s">
        <v>201</v>
      </c>
      <c r="C14" s="414"/>
      <c r="D14" s="691" t="str">
        <f ca="1">IFERROR(IF(OR(N10&lt;&gt;TRUE,ISNUMBER(SEARCH($B14,E229))),
".",
"ERROR:Check the option selected for space heating standard. Valid option(s) for this heat pump type as follows: "&amp;CHAR(10)&amp;E229),".")</f>
        <v>.</v>
      </c>
      <c r="E14" s="691"/>
      <c r="F14" s="691"/>
      <c r="G14" s="224" t="str">
        <f ca="1">A225&amp;E225</f>
        <v>Heat pump type:Air to Water</v>
      </c>
      <c r="H14" s="34"/>
      <c r="I14" s="30"/>
      <c r="J14" s="33"/>
      <c r="K14" s="30"/>
      <c r="L14" s="30"/>
      <c r="M14" s="30"/>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row>
    <row r="15" spans="1:157" ht="30" customHeight="1">
      <c r="A15" s="376" t="s">
        <v>289</v>
      </c>
      <c r="B15" s="375"/>
      <c r="C15" s="415" t="s">
        <v>290</v>
      </c>
      <c r="D15" s="680" t="s">
        <v>291</v>
      </c>
      <c r="E15" s="680"/>
      <c r="F15" s="680"/>
      <c r="G15" s="224" t="str">
        <f ca="1">A226&amp;E226</f>
        <v>Electric or GAHP:Electricity</v>
      </c>
      <c r="H15" s="34"/>
      <c r="I15" s="30"/>
      <c r="J15" s="33"/>
      <c r="K15" s="30"/>
      <c r="L15" s="30"/>
      <c r="M15" s="30"/>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row>
    <row r="16" spans="1:157" ht="30" customHeight="1">
      <c r="A16" s="376" t="s">
        <v>292</v>
      </c>
      <c r="B16" s="375"/>
      <c r="C16" s="415" t="s">
        <v>290</v>
      </c>
      <c r="D16" s="680" t="s">
        <v>291</v>
      </c>
      <c r="E16" s="680"/>
      <c r="F16" s="680"/>
      <c r="G16" s="224" t="str">
        <f ca="1">A227&amp;E227</f>
        <v>Low temp:Not low temperature heat pump</v>
      </c>
      <c r="H16" s="34"/>
      <c r="I16" s="30"/>
      <c r="J16" s="33"/>
      <c r="K16" s="30"/>
      <c r="L16" s="30"/>
      <c r="M16" s="30"/>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row>
    <row r="17" spans="1:157" ht="50.1" customHeight="1" thickBot="1">
      <c r="A17" s="377" t="s">
        <v>293</v>
      </c>
      <c r="B17" s="378">
        <f>IF(B5="Yes",B6*(1-DEAPEntries!B8)*(1-DEAPEntries!B7)*DEAPEntries!B4/DEAPEntries!I10,
                       B6*(1-DEAPEntries!B8)*(1-DEAPEntries!B7)*DEAPEntries!B4)</f>
        <v>0</v>
      </c>
      <c r="C17" s="414" t="s">
        <v>92</v>
      </c>
      <c r="D17" s="700"/>
      <c r="E17" s="700"/>
      <c r="F17" s="700"/>
      <c r="G17" s="224" t="str">
        <f ca="1">A228&amp;E228</f>
        <v>Ecodesign based stds:Ecodesign applies and/or ecodesign data available</v>
      </c>
      <c r="H17" s="189"/>
      <c r="I17" s="46"/>
      <c r="J17" s="33"/>
      <c r="K17" s="30"/>
      <c r="L17" s="30"/>
      <c r="M17" s="30"/>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row>
    <row r="18" spans="1:157" ht="42" customHeight="1" thickBot="1">
      <c r="A18" s="377" t="s">
        <v>294</v>
      </c>
      <c r="B18" s="379">
        <v>-3</v>
      </c>
      <c r="C18" s="415" t="s">
        <v>290</v>
      </c>
      <c r="D18" s="680" t="s">
        <v>295</v>
      </c>
      <c r="E18" s="680"/>
      <c r="F18" s="680"/>
      <c r="G18" s="227" t="str">
        <f>IF(AND(B16&gt;=52,G10=R1),"ERROR: WTOL can't be &gt;=52degC for low temperature heat pumps",IF(AND(B16&gt;45,G10=R1),"Warning: low temperature heat pump test data will only be available up to 45degC",""))</f>
        <v/>
      </c>
      <c r="H18" s="44"/>
      <c r="I18" s="45"/>
      <c r="J18" s="33"/>
      <c r="K18" s="30"/>
      <c r="L18" s="30"/>
      <c r="M18" s="3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row>
    <row r="19" spans="1:157" ht="30" customHeight="1" thickBot="1">
      <c r="A19" s="380" t="s">
        <v>296</v>
      </c>
      <c r="B19" s="381" t="str">
        <f>IFERROR(21*DEAPEntries!B6/DEAPEntries!B5+(1-DEAPEntries!B6/DEAPEntries!B5)*18,"Please complete DEAP Entries tab")</f>
        <v>Please complete DEAP Entries tab</v>
      </c>
      <c r="C19" s="415" t="s">
        <v>290</v>
      </c>
      <c r="D19" s="680" t="s">
        <v>297</v>
      </c>
      <c r="E19" s="680"/>
      <c r="F19" s="680"/>
      <c r="G19" s="186"/>
      <c r="H19" s="44"/>
      <c r="I19" s="45"/>
      <c r="J19" s="33"/>
      <c r="K19" s="30"/>
      <c r="L19" s="30"/>
      <c r="M19" s="30"/>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row>
    <row r="20" spans="1:157" ht="30" customHeight="1">
      <c r="A20" s="362" t="s">
        <v>298</v>
      </c>
      <c r="B20" s="166" t="s">
        <v>299</v>
      </c>
      <c r="C20" s="414"/>
      <c r="D20" s="26"/>
      <c r="E20" s="26"/>
      <c r="F20" s="26"/>
      <c r="H20" s="44"/>
      <c r="I20" s="45"/>
      <c r="J20" s="33"/>
      <c r="K20" s="30"/>
      <c r="L20" s="30"/>
      <c r="M20" s="30"/>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row>
    <row r="21" spans="1:157" ht="30" customHeight="1">
      <c r="A21" s="78" t="s">
        <v>300</v>
      </c>
      <c r="B21" s="187" t="s">
        <v>134</v>
      </c>
      <c r="H21" s="44"/>
      <c r="I21" s="45"/>
      <c r="J21" s="33"/>
      <c r="K21" s="30"/>
      <c r="L21" s="30"/>
      <c r="M21" s="30"/>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row>
    <row r="22" spans="1:157" ht="30" customHeight="1">
      <c r="A22" s="78" t="s">
        <v>301</v>
      </c>
      <c r="B22" s="187" t="s">
        <v>107</v>
      </c>
      <c r="D22" s="680" t="s">
        <v>302</v>
      </c>
      <c r="E22" s="680"/>
      <c r="F22" s="680"/>
      <c r="H22" s="44"/>
      <c r="I22" s="45"/>
      <c r="J22" s="33"/>
      <c r="K22" s="30"/>
      <c r="L22" s="30"/>
      <c r="M22" s="30"/>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row>
    <row r="23" spans="1:157" ht="33" customHeight="1" thickBot="1">
      <c r="A23" s="79" t="s">
        <v>303</v>
      </c>
      <c r="B23" s="188" t="s">
        <v>107</v>
      </c>
      <c r="D23" s="49">
        <f>IF(B24="Yes",35,IF(B21="Yes",55,IF(B22="Yes",45,35)))</f>
        <v>55</v>
      </c>
      <c r="E23" s="42" t="s">
        <v>290</v>
      </c>
      <c r="F23" s="29" t="s">
        <v>304</v>
      </c>
      <c r="H23" s="44"/>
      <c r="I23" s="45"/>
      <c r="J23" s="34"/>
      <c r="K23" s="30"/>
      <c r="L23" s="30"/>
      <c r="M23" s="3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row>
    <row r="24" spans="1:157" ht="30" customHeight="1">
      <c r="A24" s="382" t="s">
        <v>305</v>
      </c>
      <c r="B24" s="383" t="str">
        <f>IF(RIGHT(B12,6)="to Air","Yes","No")</f>
        <v>No</v>
      </c>
      <c r="D24" s="687" t="str">
        <f>IF(AND(B24="No",B25&gt;B16,OR(B14=N1,B14=N2)),
"ERROR: Design Flow Temperature is greater than Heat Pumps Operating Limit, please correct",
"")</f>
        <v/>
      </c>
      <c r="E24" s="688"/>
      <c r="F24" s="689"/>
      <c r="H24" s="44"/>
      <c r="I24" s="45"/>
      <c r="J24" s="33"/>
      <c r="K24" s="30"/>
      <c r="L24" s="30"/>
      <c r="M24" s="30"/>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row>
    <row r="25" spans="1:157" ht="69.599999999999994" customHeight="1">
      <c r="A25" s="384" t="s">
        <v>306</v>
      </c>
      <c r="B25" s="385"/>
      <c r="C25" s="42" t="s">
        <v>290</v>
      </c>
      <c r="D25" s="687" t="str">
        <f>(IF(B25&lt;D23,"WARNING: As design flow temperature is less than default, please ensure that documentary evidence is available to support it",""))</f>
        <v>WARNING: As design flow temperature is less than default, please ensure that documentary evidence is available to support it</v>
      </c>
      <c r="E25" s="688"/>
      <c r="F25" s="689"/>
      <c r="H25" s="44"/>
      <c r="I25" s="45"/>
      <c r="J25" s="33"/>
      <c r="K25" s="30"/>
      <c r="L25" s="30"/>
      <c r="M25" s="30"/>
      <c r="N25" s="32"/>
      <c r="O25" s="32" t="s">
        <v>307</v>
      </c>
      <c r="P25" s="32"/>
      <c r="Q25" s="32"/>
      <c r="R25" s="32"/>
      <c r="S25" s="32"/>
      <c r="T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row>
    <row r="26" spans="1:157" ht="30" customHeight="1">
      <c r="A26" s="377" t="s">
        <v>308</v>
      </c>
      <c r="B26" s="386">
        <f>IF(B24="Yes",1,1.2)</f>
        <v>1.2</v>
      </c>
      <c r="D26" s="699" t="s">
        <v>309</v>
      </c>
      <c r="E26" s="699"/>
      <c r="F26" s="699"/>
      <c r="H26" s="44"/>
      <c r="I26" s="45"/>
      <c r="J26" s="33"/>
      <c r="K26" s="30"/>
      <c r="L26" s="30"/>
      <c r="M26" s="30"/>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row>
    <row r="27" spans="1:157" ht="30" customHeight="1">
      <c r="A27" s="377" t="s">
        <v>310</v>
      </c>
      <c r="B27" s="386">
        <f>IF(B24="Yes",5,IF(B21="Yes",10,IF(B22="Yes",7.5,5)))</f>
        <v>10</v>
      </c>
      <c r="C27" s="42" t="s">
        <v>290</v>
      </c>
      <c r="D27" s="680" t="s">
        <v>309</v>
      </c>
      <c r="E27" s="680"/>
      <c r="F27" s="680"/>
      <c r="H27" s="44"/>
      <c r="I27" s="45"/>
      <c r="J27" s="46"/>
      <c r="K27" s="45"/>
      <c r="L27" s="45"/>
      <c r="M27" s="45"/>
    </row>
    <row r="28" spans="1:157" ht="30" customHeight="1">
      <c r="A28" s="377" t="s">
        <v>311</v>
      </c>
      <c r="B28" s="386">
        <f>B25-B27</f>
        <v>-10</v>
      </c>
      <c r="H28" s="44"/>
      <c r="I28" s="45"/>
      <c r="J28" s="46"/>
      <c r="K28" s="45"/>
      <c r="L28" s="45"/>
      <c r="M28" s="45"/>
    </row>
    <row r="29" spans="1:157" ht="30" customHeight="1">
      <c r="A29" s="377" t="s">
        <v>312</v>
      </c>
      <c r="B29" s="385">
        <v>8</v>
      </c>
      <c r="C29" s="26" t="s">
        <v>313</v>
      </c>
      <c r="D29" s="680" t="s">
        <v>314</v>
      </c>
      <c r="E29" s="680"/>
      <c r="F29" s="680"/>
      <c r="H29" s="44"/>
      <c r="I29" s="45"/>
      <c r="J29" s="46"/>
      <c r="K29" s="45"/>
      <c r="L29" s="45"/>
      <c r="M29" s="45"/>
    </row>
    <row r="30" spans="1:157" ht="30" customHeight="1">
      <c r="A30" s="377" t="s">
        <v>315</v>
      </c>
      <c r="B30" s="386">
        <f>24-B29</f>
        <v>16</v>
      </c>
      <c r="C30" s="26" t="s">
        <v>23</v>
      </c>
      <c r="H30" s="44"/>
      <c r="I30" s="45"/>
      <c r="J30" s="46"/>
      <c r="K30" s="45"/>
      <c r="L30" s="45"/>
      <c r="M30" s="45"/>
    </row>
    <row r="31" spans="1:157" ht="30" customHeight="1">
      <c r="A31" s="377" t="s">
        <v>316</v>
      </c>
      <c r="B31" s="387">
        <f>IF(G11=$Q$2,$X$2,$X$3)</f>
        <v>1.75</v>
      </c>
      <c r="D31" s="680" t="s">
        <v>317</v>
      </c>
      <c r="E31" s="680"/>
      <c r="F31" s="680"/>
      <c r="H31" s="44"/>
      <c r="I31" s="45"/>
      <c r="J31" s="46"/>
      <c r="K31" s="45"/>
      <c r="L31" s="45"/>
      <c r="M31" s="45"/>
    </row>
    <row r="32" spans="1:157" ht="30" customHeight="1">
      <c r="A32" s="377" t="s">
        <v>318</v>
      </c>
      <c r="B32" s="388" t="s">
        <v>107</v>
      </c>
      <c r="D32" s="680" t="s">
        <v>319</v>
      </c>
      <c r="E32" s="680"/>
      <c r="F32" s="680"/>
      <c r="H32" s="44"/>
      <c r="I32" s="45"/>
      <c r="J32" s="46"/>
      <c r="K32" s="45"/>
      <c r="L32" s="45"/>
      <c r="M32" s="45"/>
    </row>
    <row r="33" spans="1:23" ht="30" customHeight="1">
      <c r="A33" s="377" t="s">
        <v>320</v>
      </c>
      <c r="B33" s="385" t="s">
        <v>218</v>
      </c>
      <c r="D33" s="680" t="s">
        <v>319</v>
      </c>
      <c r="E33" s="680"/>
      <c r="F33" s="680"/>
      <c r="H33" s="44"/>
      <c r="I33" s="45"/>
      <c r="J33" s="46"/>
      <c r="K33" s="45"/>
      <c r="L33" s="45"/>
      <c r="M33" s="45"/>
    </row>
    <row r="34" spans="1:23" ht="47.25" customHeight="1">
      <c r="A34" s="377" t="s">
        <v>321</v>
      </c>
      <c r="B34" s="389">
        <f>VLOOKUP(B33,W2:X12,2,)</f>
        <v>1.75</v>
      </c>
      <c r="H34" s="44"/>
      <c r="I34" s="45"/>
      <c r="J34" s="46"/>
      <c r="K34" s="30"/>
      <c r="L34" s="30"/>
      <c r="M34" s="30"/>
    </row>
    <row r="35" spans="1:23" ht="30" customHeight="1">
      <c r="A35" s="377" t="s">
        <v>322</v>
      </c>
      <c r="B35" s="390"/>
      <c r="C35" s="26" t="s">
        <v>100</v>
      </c>
      <c r="D35" s="680" t="s">
        <v>323</v>
      </c>
      <c r="E35" s="680"/>
      <c r="F35" s="680"/>
      <c r="H35" s="44"/>
      <c r="I35" s="45"/>
      <c r="J35" s="46"/>
      <c r="K35" s="45"/>
      <c r="L35" s="45"/>
      <c r="M35" s="45"/>
    </row>
    <row r="36" spans="1:23" ht="30" customHeight="1">
      <c r="A36" s="384" t="s">
        <v>324</v>
      </c>
      <c r="B36" s="389">
        <f>IF(B32="Yes",(B31/B34)*B35,1)</f>
        <v>1</v>
      </c>
      <c r="G36" s="133"/>
      <c r="H36" s="44"/>
      <c r="I36" s="45"/>
      <c r="J36" s="46"/>
      <c r="K36" s="30"/>
      <c r="L36" s="30"/>
      <c r="M36" s="30"/>
    </row>
    <row r="37" spans="1:23" ht="34.35" customHeight="1" thickBot="1">
      <c r="D37" s="52"/>
      <c r="E37" s="52"/>
      <c r="F37" s="52"/>
      <c r="H37" s="229" t="s">
        <v>325</v>
      </c>
      <c r="I37" s="229" t="s">
        <v>326</v>
      </c>
      <c r="J37" s="229" t="s">
        <v>327</v>
      </c>
      <c r="K37" s="30"/>
      <c r="L37" s="30"/>
      <c r="M37" s="30"/>
      <c r="P37" s="32"/>
      <c r="U37" s="51"/>
      <c r="V37" s="51"/>
      <c r="W37" s="51"/>
    </row>
    <row r="38" spans="1:23" ht="78.599999999999994" customHeight="1">
      <c r="A38" s="711" t="str">
        <f>"Select the test Conditions according to the test data available from "&amp;B14</f>
        <v>Select the test Conditions according to the test data available from I.S. EN 14825</v>
      </c>
      <c r="B38" s="391" t="str">
        <f>AD4</f>
        <v>High Temperature</v>
      </c>
      <c r="C38" s="388" t="s">
        <v>134</v>
      </c>
      <c r="D38" s="703" t="str">
        <f>"Source from Ecodesign Data or accredited tests to " &amp;B14</f>
        <v>Source from Ecodesign Data or accredited tests to I.S. EN 14825</v>
      </c>
      <c r="E38" s="704"/>
      <c r="F38" s="705"/>
      <c r="G38" s="692" t="str">
        <f>"GUIDANCE NOTE: 
" &amp; IF($B$24="Yes","This is a 'to-air' heat pump. Select NO for all but "&amp;B38,
IF($G$10=$R$2,B38&amp;" Application Data is a mandatory requirement under Ecodesign Directive for this heat pump so must be selected as well as any other temperature applications for which test data is available",
B39&amp;" Application Data is a mandatory requirement under Ecodesign Directive for this heat pump so must be selected. If it is available, application data may also be selected at "&amp;B40))</f>
        <v>GUIDANCE NOTE: 
High Temperature Application Data is a mandatory requirement under Ecodesign Directive for this heat pump so must be selected as well as any other temperature applications for which test data is available</v>
      </c>
      <c r="H38" s="229" t="b">
        <f>IF($B$24="Yes",TRUE,FALSE)</f>
        <v>0</v>
      </c>
      <c r="I38" s="229" t="b">
        <f>IF($G$10=$R$1,TRUE,FALSE)</f>
        <v>0</v>
      </c>
      <c r="J38" s="229" t="str">
        <f>IF($I$38,"No","Yes")</f>
        <v>Yes</v>
      </c>
      <c r="K38" s="45"/>
      <c r="L38" s="45"/>
      <c r="M38" s="45"/>
      <c r="O38" s="32"/>
      <c r="P38" s="32"/>
    </row>
    <row r="39" spans="1:23" ht="31.5" customHeight="1">
      <c r="A39" s="712"/>
      <c r="B39" s="391" t="str">
        <f>AD2</f>
        <v>Low Temperature</v>
      </c>
      <c r="C39" s="388" t="s">
        <v>107</v>
      </c>
      <c r="D39" s="706"/>
      <c r="E39" s="682"/>
      <c r="F39" s="707"/>
      <c r="G39" s="693"/>
      <c r="H39" s="57"/>
      <c r="I39" s="45"/>
      <c r="J39" s="229" t="str">
        <f>IF($I$38,"Yes",IF($H$38,"No",C39))</f>
        <v>No</v>
      </c>
      <c r="K39" s="45"/>
      <c r="L39" s="45"/>
      <c r="M39" s="45"/>
    </row>
    <row r="40" spans="1:23" ht="26.1" customHeight="1">
      <c r="A40" s="712"/>
      <c r="B40" s="391" t="str">
        <f>AD3</f>
        <v>Medium Temperature</v>
      </c>
      <c r="C40" s="388" t="s">
        <v>107</v>
      </c>
      <c r="D40" s="706"/>
      <c r="E40" s="682"/>
      <c r="F40" s="707"/>
      <c r="G40" s="693"/>
      <c r="H40" s="57"/>
      <c r="I40" s="45"/>
      <c r="J40" s="229" t="str">
        <f>IF($I$38,C40,IF($H$38,"No",C40))</f>
        <v>No</v>
      </c>
      <c r="K40" s="45"/>
      <c r="L40" s="45"/>
      <c r="M40" s="45"/>
    </row>
    <row r="41" spans="1:23" ht="26.45" customHeight="1" thickBot="1">
      <c r="A41" s="713"/>
      <c r="B41" s="391" t="str">
        <f>AD5</f>
        <v>Very high Temperature</v>
      </c>
      <c r="C41" s="388" t="s">
        <v>107</v>
      </c>
      <c r="D41" s="708"/>
      <c r="E41" s="709"/>
      <c r="F41" s="710"/>
      <c r="G41" s="694"/>
      <c r="H41" s="57"/>
      <c r="I41" s="45"/>
      <c r="J41" s="229" t="str">
        <f>IF($I$38,"No",IF($H$38,"No",C41))</f>
        <v>No</v>
      </c>
      <c r="K41" s="45"/>
      <c r="L41" s="45"/>
      <c r="M41" s="45"/>
      <c r="U41" s="51"/>
      <c r="V41" s="51"/>
      <c r="W41" s="51"/>
    </row>
    <row r="42" spans="1:23" ht="66.599999999999994" customHeight="1" thickBot="1">
      <c r="A42" s="59"/>
      <c r="B42" s="158" t="str">
        <f>"Maximum test temperature allowed for in tests to "&amp;B14</f>
        <v>Maximum test temperature allowed for in tests to I.S. EN 14825</v>
      </c>
      <c r="C42" s="159">
        <f>IF($B$24="Yes",35,IF(C41="Yes",65,IF(C38="Yes",55,IF(C40="Yes",45,35))))</f>
        <v>55</v>
      </c>
      <c r="D42" s="701" t="str">
        <f>IF(B25&gt;C42,"ERROR: Heat Pump data not suitable for Design Flow Temperature, test data must be available for higher supply temperature","")</f>
        <v/>
      </c>
      <c r="E42" s="702"/>
      <c r="F42" s="702"/>
      <c r="G42" s="228" t="str">
        <f>IF(C38&amp;C39&amp;C40&amp;C41&lt;&gt;J38&amp;J39&amp;J40&amp;J41,"Warning: incorrect application temperatures selected for this heat pump type. Check entries please.","")</f>
        <v/>
      </c>
      <c r="H42" s="57"/>
      <c r="I42" s="57"/>
      <c r="J42" s="46"/>
      <c r="K42" s="45"/>
      <c r="L42" s="45"/>
      <c r="M42" s="45"/>
      <c r="U42" s="51"/>
      <c r="V42" s="51"/>
      <c r="W42" s="51"/>
    </row>
    <row r="43" spans="1:23" ht="33.75" customHeight="1" thickBot="1">
      <c r="A43" s="62" t="s">
        <v>23</v>
      </c>
      <c r="B43" s="160" t="str">
        <f>"Test Conditions "&amp;B14</f>
        <v>Test Conditions I.S. EN 14825</v>
      </c>
      <c r="C43" s="163" t="s">
        <v>328</v>
      </c>
      <c r="D43" s="164" t="s">
        <v>329</v>
      </c>
      <c r="E43" s="164" t="s">
        <v>330</v>
      </c>
      <c r="F43" s="164" t="s">
        <v>331</v>
      </c>
      <c r="G43" s="165" t="s">
        <v>332</v>
      </c>
      <c r="H43" s="63"/>
      <c r="I43" s="64"/>
      <c r="J43" s="46"/>
      <c r="K43" s="30"/>
      <c r="L43" s="30"/>
      <c r="M43" s="30"/>
      <c r="R43" s="26" t="s">
        <v>23</v>
      </c>
      <c r="S43" s="26" t="s">
        <v>23</v>
      </c>
    </row>
    <row r="44" spans="1:23" ht="51.75" customHeight="1">
      <c r="A44" s="65" t="str">
        <f>B39&amp;" Application (35degC)"</f>
        <v>Low Temperature Application (35degC)</v>
      </c>
      <c r="B44" s="392" t="s">
        <v>333</v>
      </c>
      <c r="C44" s="404" t="str">
        <f>IF(OR($B$12="Water to Water",$B$12="Water to Air"),"W10",
IF(OR($B$12="Brine to Water",$B$12="Brine to Air"),"B0",
IF($B$12=$S$4,"A20",
IF($B$12=$S$5,"E4",
"A-7"))))</f>
        <v>A-7</v>
      </c>
      <c r="D44" s="405" t="str">
        <f>IF(OR($B$12="Water to Water",$B$12="Water to Air"),"W10",
IF(OR($B$12="Brine to Water",$B$12="Brine to Air"),"B0",
IF($B$12=$S$4,"A20",
IF($B$12=$S$5,"E4",
"A2"))))</f>
        <v>A2</v>
      </c>
      <c r="E44" s="405" t="str">
        <f>IF(OR($B$12="Water to Water",$B$12="Water to Air"),"W10",
IF(OR($B$12="Brine to Water",$B$12="Brine to Air"),"B0",
IF($B$12=$S$4,"A20",
IF($B$12=$S$5,"E4",
"A7"))))</f>
        <v>A7</v>
      </c>
      <c r="F44" s="405" t="str">
        <f>IF(OR($B$12="Water to Water",$B$12="Water to Air"),"W10",
IF(OR($B$12="Brine to Water",$B$12="Brine to Air"),"B0",
IF($B$12=$S$4,"A20",
IF($B$12=$S$5,"E4",
"A12"))))</f>
        <v>A12</v>
      </c>
      <c r="G44" s="406" t="str">
        <f>IF(OR($B$12="Water to Water",$B$12="Water to Air"),"W10",
IF(OR($B$12="Brine to Water",$B$12="Brine to Air"),"B0",
IF($B$12=$S$4,"A20",
IF($B$12=$S$5,"E4",
"A"&amp;$B$15))))</f>
        <v>A</v>
      </c>
      <c r="H44" s="66"/>
      <c r="I44" s="68"/>
      <c r="J44" s="46"/>
      <c r="K44" s="45"/>
      <c r="L44" s="45"/>
      <c r="M44" s="45"/>
    </row>
    <row r="45" spans="1:23" ht="32.25" customHeight="1">
      <c r="A45" s="161" t="str">
        <f>"Standard: "&amp;$B$14</f>
        <v>Standard: I.S. EN 14825</v>
      </c>
      <c r="B45" s="393" t="s">
        <v>334</v>
      </c>
      <c r="C45" s="407" t="str">
        <f>IF(OR($B$12="Water to Air",$B$12="Air to Air",$B$12="Brine to Air"),"A20",(IF($B$13="Fixed Outlet","W35","W34")))</f>
        <v>W35</v>
      </c>
      <c r="D45" s="408" t="str">
        <f>IF(OR($B$12="Water to Air",$B$12="Air to Air",$B$12="Brine to Air"),"A20",(IF($B$13="Fixed Outlet","W35","W30")))</f>
        <v>W35</v>
      </c>
      <c r="E45" s="408" t="str">
        <f>IF(OR($B$12="Water to Air",$B$12="Air to Air",$B$12="Brine to Air"),"A20",(IF($B$13="Fixed Outlet","W35","W27")))</f>
        <v>W35</v>
      </c>
      <c r="F45" s="408" t="str">
        <f>IF(OR($B$12="Water to Air",$B$12="Air to Air",$B$12="Brine to Air"),"A20",(IF($B$13="Fixed Outlet","W35","W24")))</f>
        <v>W35</v>
      </c>
      <c r="G45" s="409" t="str">
        <f>IF(OR($B$12="Water to Air",$B$12="Air to Air",$B$12="Brine to Air"),"A20",(IF($B$13="Fixed Outlet","W35","W35")))</f>
        <v>W35</v>
      </c>
      <c r="H45" s="66"/>
      <c r="I45" s="68"/>
      <c r="J45" s="46"/>
      <c r="K45" s="45"/>
      <c r="L45" s="45"/>
      <c r="M45" s="45"/>
    </row>
    <row r="46" spans="1:23" ht="31.5" customHeight="1">
      <c r="A46" s="695" t="str">
        <f>IF($B$24="yes","No entries required here. 'To-air' heat pump",
" Source from Ecodesign data or 
"&amp;IF($B$14=$N$1, "I.S. EN14825 Table 8 for air source. 
Table 12 for brine, water or DX source. 
[These table # references are from 2016 version of this standard]",
IF($B$14=$N$2,"I.S. EN12309-6 Table 5 for air source. 
Table 17 for Brine or Water source.
[These table # references are from 2014 version of this standard]",
"")))</f>
        <v xml:space="preserve"> Source from Ecodesign data or 
I.S. EN14825 Table 8 for air source. 
Table 12 for brine, water or DX source. 
[These table # references are from 2016 version of this standard]</v>
      </c>
      <c r="B46" s="393" t="s">
        <v>335</v>
      </c>
      <c r="C46" s="371"/>
      <c r="D46" s="388"/>
      <c r="E46" s="388"/>
      <c r="F46" s="388"/>
      <c r="G46" s="413"/>
      <c r="H46" s="69"/>
      <c r="I46" s="45"/>
      <c r="J46" s="46"/>
      <c r="K46" s="45"/>
      <c r="L46" s="45"/>
      <c r="M46" s="45"/>
      <c r="U46" s="51"/>
      <c r="V46" s="51"/>
      <c r="W46" s="51"/>
    </row>
    <row r="47" spans="1:23" ht="43.35" customHeight="1" thickBot="1">
      <c r="A47" s="696"/>
      <c r="B47" s="394" t="s">
        <v>336</v>
      </c>
      <c r="C47" s="410"/>
      <c r="D47" s="411"/>
      <c r="E47" s="411"/>
      <c r="F47" s="411"/>
      <c r="G47" s="412"/>
      <c r="H47" s="71"/>
      <c r="I47" s="68"/>
      <c r="J47" s="46"/>
      <c r="K47" s="30"/>
      <c r="L47" s="30"/>
      <c r="M47" s="30"/>
    </row>
    <row r="48" spans="1:23" ht="36" customHeight="1">
      <c r="A48" s="65" t="str">
        <f>B40&amp;" Application (45degC)"</f>
        <v>Medium Temperature Application (45degC)</v>
      </c>
      <c r="B48" s="396" t="s">
        <v>333</v>
      </c>
      <c r="C48" s="404" t="str">
        <f>IF(OR($B$12="Water to Water",$B$12="Water to Air"),"W10",
IF(OR($B$12="Brine to Water",$B$12="Brine to Air"),"B0",
IF($B$12=$S$4,"A20",
IF($B$12=$S$5,"E4",
"A-7"))))</f>
        <v>A-7</v>
      </c>
      <c r="D48" s="405" t="str">
        <f>IF(OR($B$12="Water to Water",$B$12="Water to Air"),"W10",
IF(OR($B$12="Brine to Water",$B$12="Brine to Air"),"B0",
IF($B$12=$S$4,"A20",
IF($B$12=$S$5,"E4",
"A2"))))</f>
        <v>A2</v>
      </c>
      <c r="E48" s="405" t="str">
        <f>IF(OR($B$12="Water to Water",$B$12="Water to Air"),"W10",
IF(OR($B$12="Brine to Water",$B$12="Brine to Air"),"B0",
IF($B$12=$S$4,"A20",
IF($B$12=$S$5,"E4",
"A7"))))</f>
        <v>A7</v>
      </c>
      <c r="F48" s="405" t="str">
        <f>IF(OR($B$12="Water to Water",$B$12="Water to Air"),"W10",
IF(OR($B$12="Brine to Water",$B$12="Brine to Air"),"B0",
IF($B$12=$S$4,"A20",
IF($B$12=$S$5,"E4",
"A12"))))</f>
        <v>A12</v>
      </c>
      <c r="G48" s="406" t="str">
        <f>IF(OR($B$12="Water to Water",$B$12="Water to Air"),"W10",
IF(OR($B$12="Brine to Water",$B$12="Brine to Air"),"B0",
IF($B$12=$S$4,"A20",
IF($B$12=$S$5,"E4",
"A"&amp;$B$15))))</f>
        <v>A</v>
      </c>
      <c r="H48" s="71"/>
      <c r="I48" s="73"/>
      <c r="J48" s="46"/>
      <c r="K48" s="45"/>
      <c r="L48" s="45"/>
      <c r="M48" s="45"/>
    </row>
    <row r="49" spans="1:157" ht="15.75" customHeight="1">
      <c r="A49" s="161" t="str">
        <f>"Standard: "&amp;$B$14</f>
        <v>Standard: I.S. EN 14825</v>
      </c>
      <c r="B49" s="397" t="s">
        <v>334</v>
      </c>
      <c r="C49" s="407" t="str">
        <f>IF(OR($B$12="Water to Air",$B$12="Air to Air",$B$12="Brine to Air"),"A20",(IF($B$13="Fixed Outlet","W45","W43")))</f>
        <v>W45</v>
      </c>
      <c r="D49" s="408" t="str">
        <f>IF(OR($B$12="Water to Air",$B$12="Air to Air",$B$12="Brine to Air"),"A20",(IF($B$13="Fixed Outlet","W45","W37")))</f>
        <v>W45</v>
      </c>
      <c r="E49" s="408" t="str">
        <f>IF(OR($B$12="Water to Air",$B$12="Air to Air",$B$12="Brine to Air"),"A20",(IF($B$13="Fixed Outlet","W45","W33")))</f>
        <v>W45</v>
      </c>
      <c r="F49" s="408" t="str">
        <f>IF(OR($B$12="Water to Air",$B$12="Air to Air",$B$12="Brine to Air"),"A20",(IF($B$13="Fixed Outlet","W45","W28")))</f>
        <v>W45</v>
      </c>
      <c r="G49" s="409" t="str">
        <f>IF(OR($B$12="Water to Air",$B$12="Air to Air",$B$12="Brine to Air"),"A20",(IF($B$13="Fixed Outlet","W45","W45")))</f>
        <v>W45</v>
      </c>
      <c r="H49" s="71"/>
      <c r="I49" s="73"/>
      <c r="J49" s="46"/>
      <c r="K49" s="45"/>
      <c r="L49" s="45"/>
      <c r="M49" s="45"/>
    </row>
    <row r="50" spans="1:157" ht="15.75" customHeight="1">
      <c r="A50" s="695" t="str">
        <f>IF($B$24="yes","No entries required here. 'To-air' heat pump",
" Source from Ecodesign data or 
"&amp;IF($B$14=$N$1, "I.S. EN14825 Table 9 for air source. 
Table 13 for brine, water or DX source. 
[These table # references are from 2016 version of this standard]",
IF($B$14=$N$2,"I.S. EN12309-6 Table 8 for air source. 
Table 20 for Brine or Water source.
[These table # references are from 2014 version of this standard]",
"")))</f>
        <v xml:space="preserve"> Source from Ecodesign data or 
I.S. EN14825 Table 9 for air source. 
Table 13 for brine, water or DX source. 
[These table # references are from 2016 version of this standard]</v>
      </c>
      <c r="B50" s="397" t="s">
        <v>335</v>
      </c>
      <c r="C50" s="371"/>
      <c r="D50" s="388"/>
      <c r="E50" s="388"/>
      <c r="F50" s="388"/>
      <c r="G50" s="413"/>
      <c r="H50" s="66"/>
      <c r="I50" s="68"/>
      <c r="J50" s="46"/>
      <c r="K50" s="45"/>
      <c r="L50" s="45"/>
      <c r="M50" s="45"/>
      <c r="N50" s="54"/>
    </row>
    <row r="51" spans="1:157" ht="60" customHeight="1" thickBot="1">
      <c r="A51" s="696"/>
      <c r="B51" s="399" t="s">
        <v>336</v>
      </c>
      <c r="C51" s="410"/>
      <c r="D51" s="411"/>
      <c r="E51" s="411"/>
      <c r="F51" s="411"/>
      <c r="G51" s="412"/>
      <c r="H51" s="75"/>
      <c r="I51" s="66"/>
      <c r="J51" s="46"/>
      <c r="K51" s="45"/>
      <c r="L51" s="45"/>
      <c r="M51" s="45"/>
      <c r="N51" s="55" t="s">
        <v>23</v>
      </c>
    </row>
    <row r="52" spans="1:157" ht="28.5" customHeight="1">
      <c r="A52" s="162" t="str">
        <f>IF(B24="Yes","To Air test points",B38&amp;" Application (55degC).")</f>
        <v>High Temperature Application (55degC).</v>
      </c>
      <c r="B52" s="396" t="s">
        <v>333</v>
      </c>
      <c r="C52" s="404" t="str">
        <f>IF(OR($B$12="Water to Water",$B$12="Water to Air"),"W10",
IF(OR($B$12="Brine to Water",$B$12="Brine to Air"),"B0",
IF(LEFT($B$12,7)="Exhaust","A20",
IF($B$12=$S$5,"E4",
"A-7"))))</f>
        <v>A-7</v>
      </c>
      <c r="D52" s="405" t="str">
        <f>IF(OR($B$12="Water to Water",$B$12="Water to Air"),"W10",
IF(OR($B$12="Brine to Water",$B$12="Brine to Air"),"B0",
IF(LEFT($B$12,7)="Exhaust","A20",
IF($B$12=$S$5,"E4",
"A2"))))</f>
        <v>A2</v>
      </c>
      <c r="E52" s="405" t="str">
        <f>IF(OR($B$12="Water to Water",$B$12="Water to Air"),"W10",
IF(OR($B$12="Brine to Water",$B$12="Brine to Air"),"B0",
IF(LEFT($B$12,7)="Exhaust","A20",
IF($B$12=$S$5,"E4",
"A7"))))</f>
        <v>A7</v>
      </c>
      <c r="F52" s="405" t="str">
        <f>IF(OR($B$12="Water to Water",$B$12="Water to Air"),"W10",
IF(OR($B$12="Brine to Water",$B$12="Brine to Air"),"B0",
IF(LEFT($B$12,7)="Exhaust","A20",
IF($B$12=$S$5,"E4",
"A12"))))</f>
        <v>A12</v>
      </c>
      <c r="G52" s="406" t="str">
        <f>IF(OR($B$12="Water to Water",$B$12="Water to Air"),"W10",
IF(OR($B$12="Brine to Water",$B$12="Brine to Air"),"B0",
IF(LEFT($B$12,7)="Exhaust","A20",
IF($B$12=$S$5,"E4",
"A"&amp;$B$15))))</f>
        <v>A</v>
      </c>
      <c r="H52" s="75"/>
      <c r="I52" s="73"/>
      <c r="J52" s="58"/>
      <c r="K52" s="57"/>
      <c r="L52" s="57"/>
      <c r="M52" s="57"/>
      <c r="N52" s="59"/>
    </row>
    <row r="53" spans="1:157" ht="78.599999999999994" customHeight="1">
      <c r="A53" s="161" t="str">
        <f>"Standard: "&amp;$B$14</f>
        <v>Standard: I.S. EN 14825</v>
      </c>
      <c r="B53" s="397" t="s">
        <v>334</v>
      </c>
      <c r="C53" s="407" t="str">
        <f>IF($B$24="Yes","A20",(IF($B$13="Fixed Outlet","W55","W52")))</f>
        <v>W55</v>
      </c>
      <c r="D53" s="408" t="str">
        <f>IF($B$24="Yes","A20",(IF($B$13="Fixed Outlet","W55","W42")))</f>
        <v>W55</v>
      </c>
      <c r="E53" s="408" t="str">
        <f>IF($B$24="Yes","A20",(IF($B$13="Fixed Outlet","W55","W36")))</f>
        <v>W55</v>
      </c>
      <c r="F53" s="408" t="str">
        <f>IF($B$24="Yes","A20",(IF($B$13="Fixed Outlet","W55","W30")))</f>
        <v>W55</v>
      </c>
      <c r="G53" s="409" t="str">
        <f>IF($B$24="Yes","A20",(IF($B$13="Fixed Outlet","W55","W55")))</f>
        <v>W55</v>
      </c>
      <c r="H53" s="75"/>
      <c r="I53" s="73"/>
      <c r="J53" s="60"/>
      <c r="K53" s="30"/>
      <c r="L53" s="30"/>
      <c r="M53" s="30"/>
      <c r="N53" s="59"/>
    </row>
    <row r="54" spans="1:157" ht="30.75" customHeight="1">
      <c r="A54" s="695" t="str">
        <f>IF($B$24="yes",IF($B$14=$N$3,"Source data from I.S. EN 14511 as required by I.S. EN 13141 for this heat pump type. See DEAP manual Appendix G", "'To-air' heat pump. Source from Ecodesign data or I.S. EN14825 Table 6 for air source, and Table 7 for brine/water source"),
" Source from Ecodesign data or 
"&amp;IF($B$14=$N$1, "I.S. EN14825 Table 10 for air source. 
Table 14 for brine, water or DX source. 
[These table # references are from 2016 version of this standard]",
IF($B$14=$N$2,"I.S. EN12309-6 Table 11 for air source. 
Table 23 for Brine or Water source.
[These table # references are from 2014 version of this standard]",
"")))</f>
        <v xml:space="preserve"> Source from Ecodesign data or 
I.S. EN14825 Table 10 for air source. 
Table 14 for brine, water or DX source. 
[These table # references are from 2016 version of this standard]</v>
      </c>
      <c r="B54" s="397" t="s">
        <v>335</v>
      </c>
      <c r="C54" s="371"/>
      <c r="D54" s="388"/>
      <c r="E54" s="388"/>
      <c r="F54" s="388"/>
      <c r="G54" s="413"/>
      <c r="H54" s="26"/>
      <c r="I54" s="68"/>
      <c r="J54" s="61"/>
      <c r="K54" s="30"/>
      <c r="L54" s="30"/>
      <c r="M54" s="30"/>
      <c r="N54" s="59"/>
    </row>
    <row r="55" spans="1:157" ht="42.6" customHeight="1" thickBot="1">
      <c r="A55" s="696"/>
      <c r="B55" s="400" t="s">
        <v>336</v>
      </c>
      <c r="C55" s="410"/>
      <c r="D55" s="411"/>
      <c r="E55" s="411"/>
      <c r="F55" s="411"/>
      <c r="G55" s="412"/>
      <c r="H55" s="66"/>
      <c r="I55" s="66"/>
      <c r="J55" s="61"/>
      <c r="K55" s="30"/>
      <c r="L55" s="30"/>
      <c r="M55" s="30"/>
      <c r="N55" s="59"/>
    </row>
    <row r="56" spans="1:157" ht="30.75" customHeight="1">
      <c r="A56" s="65" t="str">
        <f>B41&amp;" Application (65degC)"</f>
        <v>Very high Temperature Application (65degC)</v>
      </c>
      <c r="B56" s="401" t="s">
        <v>333</v>
      </c>
      <c r="C56" s="404" t="str">
        <f>IF(OR($B$12="Water to Water",$B$12="Water to Air"),"W10",
IF(OR($B$12="Brine to Water",$B$12="Brine to Air"),"B0",
IF($B$12=$S$4,"A20",
IF($B$12=$S$5,"E4",
"A-7"))))</f>
        <v>A-7</v>
      </c>
      <c r="D56" s="405" t="str">
        <f>IF(OR($B$12="Water to Water",$B$12="Water to Air"),"W10",
IF(OR($B$12="Brine to Water",$B$12="Brine to Air"),"B0",
IF($B$12=$S$4,"A20",
IF($B$12=$S$5,"E4",
"A2"))))</f>
        <v>A2</v>
      </c>
      <c r="E56" s="405" t="str">
        <f>IF(OR($B$12="Water to Water",$B$12="Water to Air"),"W10",
IF(OR($B$12="Brine to Water",$B$12="Brine to Air"),"B0",
IF($B$12=$S$4,"A20",
IF($B$12=$S$5,"E4",
"A7"))))</f>
        <v>A7</v>
      </c>
      <c r="F56" s="405" t="str">
        <f>IF(OR($B$12="Water to Water",$B$12="Water to Air"),"W10",
IF(OR($B$12="Brine to Water",$B$12="Brine to Air"),"B0",
IF($B$12=$S$4,"A20",
IF($B$12=$S$5,"E4",
"A12"))))</f>
        <v>A12</v>
      </c>
      <c r="G56" s="406" t="str">
        <f>IF(OR($B$12="Water to Water",$B$12="Water to Air"),"W10",
IF(OR($B$12="Brine to Water",$B$12="Brine to Air"),"B0",
IF($B$12=$S$4,"A20",
IF($B$12=$S$5,"E4",
"A"&amp;$B$15))))</f>
        <v>A</v>
      </c>
      <c r="H56" s="75"/>
      <c r="I56" s="73"/>
      <c r="J56" s="61"/>
      <c r="K56" s="30"/>
      <c r="L56" s="30"/>
      <c r="M56" s="30"/>
      <c r="N56" s="32"/>
      <c r="O56" s="32"/>
      <c r="P56" s="32"/>
      <c r="Q56" s="32"/>
      <c r="R56" s="32"/>
      <c r="S56" s="32"/>
      <c r="T56" s="32"/>
    </row>
    <row r="57" spans="1:157" ht="49.5" customHeight="1">
      <c r="A57" s="161" t="str">
        <f>"Standard: "&amp;$B$14</f>
        <v>Standard: I.S. EN 14825</v>
      </c>
      <c r="B57" s="397" t="s">
        <v>334</v>
      </c>
      <c r="C57" s="407" t="str">
        <f>IF(OR($B$12="Water to Air",$B$12="Air to Air",$B$12="Brine to Air"),"A20",(IF($B$13="Fixed Outlet","W65","W61")))</f>
        <v>W65</v>
      </c>
      <c r="D57" s="408" t="str">
        <f>IF(OR($B$12="Water to Air",$B$12="Air to Air",$B$12="Brine to Air"),"A20",(IF($B$13="Fixed Outlet","W65","W49")))</f>
        <v>W65</v>
      </c>
      <c r="E57" s="408" t="str">
        <f>IF(OR($B$12="Water to Air",$B$12="Air to Air",$B$12="Brine to Air"),"A20",(IF($B$13="Fixed Outlet","W65","W41")))</f>
        <v>W65</v>
      </c>
      <c r="F57" s="408" t="str">
        <f>IF(OR($B$12="Water to Air",$B$12="Air to Air",$B$12="Brine to Air"),"A20",(IF($B$13="Fixed Outlet","W65","W32")))</f>
        <v>W65</v>
      </c>
      <c r="G57" s="409" t="str">
        <f>IF(OR($B$12="Water to Air",$B$12="Air to Air",$B$12="Brine to Air"),"A20",(IF($B$13="Fixed Outlet","W65","W65")))</f>
        <v>W65</v>
      </c>
      <c r="H57" s="75"/>
      <c r="I57" s="73"/>
      <c r="J57" s="61"/>
      <c r="K57" s="57"/>
      <c r="L57" s="57"/>
      <c r="M57" s="57"/>
      <c r="N57" s="32"/>
      <c r="O57" s="32"/>
      <c r="P57" s="32"/>
      <c r="Q57" s="32"/>
      <c r="R57" s="32"/>
      <c r="S57" s="32"/>
      <c r="T57" s="32"/>
    </row>
    <row r="58" spans="1:157" ht="30.75" customHeight="1">
      <c r="A58" s="695" t="str">
        <f>IF($B$24="yes","No entries required here. 'To-air' heat pump",
" Source from Ecodesign data or 
"&amp;IF($B$14=$N$1, "I.S. EN14825 Table 11 for air source. 
Table 15 for brine, water or DX source. 
[These table # references are from 2016 version of this standard]",
IF($B$14=$N$2,"I.S. EN12309-6 Table 14 for air source. 
Table 26 for Brine or Water source.
[These table # references are from 2014 version of this standard]",
"")))</f>
        <v xml:space="preserve"> Source from Ecodesign data or 
I.S. EN14825 Table 11 for air source. 
Table 15 for brine, water or DX source. 
[These table # references are from 2016 version of this standard]</v>
      </c>
      <c r="B58" s="397" t="s">
        <v>335</v>
      </c>
      <c r="C58" s="371"/>
      <c r="D58" s="388"/>
      <c r="E58" s="388"/>
      <c r="F58" s="388"/>
      <c r="G58" s="413"/>
      <c r="H58" s="75"/>
      <c r="I58" s="68"/>
      <c r="J58" s="61"/>
      <c r="K58" s="64"/>
      <c r="L58" s="64"/>
      <c r="M58" s="64"/>
      <c r="N58" s="32"/>
      <c r="O58" s="32"/>
      <c r="P58" s="32"/>
      <c r="Q58" s="32"/>
      <c r="R58" s="32"/>
      <c r="S58" s="32"/>
      <c r="T58" s="32"/>
    </row>
    <row r="59" spans="1:157" ht="44.1" customHeight="1" thickBot="1">
      <c r="A59" s="696"/>
      <c r="B59" s="400" t="s">
        <v>336</v>
      </c>
      <c r="C59" s="410"/>
      <c r="D59" s="411"/>
      <c r="E59" s="411"/>
      <c r="F59" s="411"/>
      <c r="G59" s="412"/>
      <c r="H59" s="71"/>
      <c r="I59" s="45"/>
      <c r="J59" s="67"/>
      <c r="K59" s="30"/>
      <c r="L59" s="30"/>
      <c r="M59" s="30"/>
      <c r="N59" s="32"/>
      <c r="O59" s="32"/>
      <c r="P59" s="32"/>
      <c r="Q59" s="32"/>
      <c r="R59" s="32"/>
      <c r="S59" s="32"/>
      <c r="T59" s="32"/>
    </row>
    <row r="60" spans="1:157" ht="30.75" customHeight="1">
      <c r="A60" s="101"/>
      <c r="B60" s="102"/>
      <c r="C60" s="72"/>
      <c r="D60" s="72"/>
      <c r="E60" s="72"/>
      <c r="F60" s="72"/>
      <c r="G60" s="72"/>
      <c r="H60" s="71"/>
      <c r="I60" s="45"/>
      <c r="J60" s="67"/>
      <c r="K60" s="30"/>
      <c r="L60" s="30"/>
      <c r="M60" s="30"/>
      <c r="N60" s="32"/>
      <c r="O60" s="32"/>
      <c r="P60" s="32"/>
      <c r="Q60" s="32"/>
      <c r="R60" s="32"/>
      <c r="S60" s="32"/>
      <c r="T60" s="32"/>
    </row>
    <row r="61" spans="1:157" ht="30.75" customHeight="1" thickBot="1">
      <c r="A61" s="101"/>
      <c r="B61" s="102"/>
      <c r="C61" s="72"/>
      <c r="D61" s="72"/>
      <c r="E61" s="72"/>
      <c r="F61" s="72"/>
      <c r="G61" s="72"/>
      <c r="H61" s="71"/>
      <c r="I61" s="45"/>
      <c r="J61" s="67"/>
      <c r="K61" s="30"/>
      <c r="L61" s="30"/>
      <c r="M61" s="30"/>
      <c r="N61" s="32"/>
      <c r="O61" s="32"/>
      <c r="P61" s="32"/>
      <c r="Q61" s="32"/>
      <c r="R61" s="32"/>
      <c r="S61" s="32"/>
      <c r="T61" s="32"/>
    </row>
    <row r="62" spans="1:157" ht="29.25" customHeight="1" thickBot="1">
      <c r="A62" s="4" t="str">
        <f>IF(N11=FALSE,"No heat Pump for Water Heating - PROCEED TO SPACE HEATING","Heat Pump for Water Heating")</f>
        <v>Heat Pump for Water Heating</v>
      </c>
      <c r="B62" s="4"/>
      <c r="C62" s="683" t="str">
        <f ca="1">IF(N11,E231,".")</f>
        <v>Valid water heat pump type selected.</v>
      </c>
      <c r="D62" s="684"/>
      <c r="E62" s="684"/>
      <c r="F62" s="684"/>
      <c r="G62" s="684"/>
      <c r="H62" s="684"/>
      <c r="I62" s="685"/>
      <c r="J62" s="46"/>
      <c r="K62" s="45"/>
      <c r="L62" s="45"/>
      <c r="M62" s="45"/>
      <c r="P62" s="32"/>
      <c r="R62" s="26" t="s">
        <v>23</v>
      </c>
    </row>
    <row r="63" spans="1:157" ht="35.25" customHeight="1">
      <c r="A63" s="35" t="s">
        <v>274</v>
      </c>
      <c r="B63" s="373"/>
      <c r="D63" s="716" t="s">
        <v>279</v>
      </c>
      <c r="E63" s="716"/>
      <c r="F63" s="716"/>
      <c r="G63" s="127" t="s">
        <v>218</v>
      </c>
      <c r="H63" s="34"/>
      <c r="I63" s="30"/>
      <c r="J63" s="33"/>
      <c r="K63" s="45"/>
      <c r="L63" s="45"/>
      <c r="M63" s="45"/>
      <c r="P63" s="32"/>
    </row>
    <row r="64" spans="1:157" ht="52.35" customHeight="1">
      <c r="A64" s="28" t="s">
        <v>278</v>
      </c>
      <c r="B64" s="374"/>
      <c r="D64" s="716" t="s">
        <v>282</v>
      </c>
      <c r="E64" s="716"/>
      <c r="F64" s="716"/>
      <c r="G64" s="128" t="s">
        <v>221</v>
      </c>
      <c r="H64" s="34"/>
      <c r="I64" s="30"/>
      <c r="J64" s="33"/>
      <c r="K64" s="30"/>
      <c r="L64" s="30"/>
      <c r="M64" s="30"/>
      <c r="N64" s="32"/>
      <c r="O64" s="32"/>
      <c r="P64" s="32"/>
      <c r="Q64" s="32"/>
      <c r="R64" s="32"/>
      <c r="S64" s="32"/>
      <c r="T64" s="32"/>
      <c r="U64" s="32"/>
      <c r="V64" s="32"/>
      <c r="W64" s="32" t="s">
        <v>337</v>
      </c>
      <c r="X64" s="32">
        <v>1.2</v>
      </c>
      <c r="Y64" s="32"/>
      <c r="Z64" s="32"/>
      <c r="AA64" s="32"/>
      <c r="AB64" s="32"/>
      <c r="AC64" s="32"/>
      <c r="AD64" s="32"/>
      <c r="AE64" s="32"/>
      <c r="AF64" s="32"/>
      <c r="AG64" s="32"/>
      <c r="AH64" s="32"/>
      <c r="AI64" s="32"/>
      <c r="AJ64" s="32"/>
      <c r="AK64" s="32"/>
      <c r="AL64" t="s">
        <v>273</v>
      </c>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row>
    <row r="65" spans="1:157" ht="139.35" customHeight="1">
      <c r="A65" s="28" t="s">
        <v>281</v>
      </c>
      <c r="B65" s="374" t="s">
        <v>205</v>
      </c>
      <c r="C65" s="112" t="str">
        <f>IF(E190="Exhaust Air Heat Pump",
IF(LEFT(B65,7)&lt;&gt;"Exhaust","Warning: Type of heat pump selected here and in DEAPEntries tab do not match. 
Check entries",""),
IF(LEFT(B65,7)="Exhaust","Warning: Type of heat pump selected here and in DEAPEntries tab do not match. 
Check entries",""))</f>
        <v/>
      </c>
      <c r="D65" s="716" t="s">
        <v>338</v>
      </c>
      <c r="E65" s="716"/>
      <c r="F65" s="716"/>
      <c r="G65" s="100">
        <f>IF(G63=$Q$2,$X$2,$X$3)</f>
        <v>1.75</v>
      </c>
      <c r="H65" s="34"/>
      <c r="I65" s="30"/>
      <c r="J65" s="33"/>
      <c r="K65" s="30"/>
      <c r="L65" s="30"/>
      <c r="M65" s="30"/>
      <c r="N65" s="32"/>
      <c r="O65" s="32"/>
      <c r="P65" s="32"/>
      <c r="Q65" s="32"/>
      <c r="R65" s="32"/>
      <c r="S65" s="32"/>
      <c r="T65" s="32"/>
      <c r="U65" s="32"/>
      <c r="V65" s="32"/>
      <c r="W65" s="32" t="s">
        <v>276</v>
      </c>
      <c r="X65" s="32">
        <v>1.1000000000000001</v>
      </c>
      <c r="Y65" s="32"/>
      <c r="Z65" s="32"/>
      <c r="AA65" s="32"/>
      <c r="AB65" s="32"/>
      <c r="AC65" s="32"/>
      <c r="AD65" s="32"/>
      <c r="AE65" s="32"/>
      <c r="AF65" s="32"/>
      <c r="AG65" s="32"/>
      <c r="AH65" s="32"/>
      <c r="AI65" s="32"/>
      <c r="AJ65" s="32"/>
      <c r="AK65" s="32"/>
      <c r="AL65" t="s">
        <v>277</v>
      </c>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row>
    <row r="66" spans="1:157" ht="147.6" customHeight="1" thickBot="1">
      <c r="A66" s="28" t="s">
        <v>285</v>
      </c>
      <c r="B66" s="374" t="s">
        <v>209</v>
      </c>
      <c r="C66" s="230" t="str">
        <f>IF($N$12,IF(B65&amp;B66&amp;G63&amp;G64&lt;&gt;B12&amp;B13&amp;G11&amp;G12,"Warning: heat pump type; temperature control; fuel; ecodesign applicability should be the same for space and water heating",""),"")</f>
        <v/>
      </c>
      <c r="D66" s="680" t="s">
        <v>286</v>
      </c>
      <c r="E66" s="680"/>
      <c r="F66" s="680"/>
      <c r="G66" s="224" t="s">
        <v>287</v>
      </c>
      <c r="H66" s="34"/>
      <c r="I66" s="30"/>
      <c r="J66" s="33"/>
      <c r="K66" s="30"/>
      <c r="L66" s="30"/>
      <c r="M66" s="30"/>
      <c r="N66" s="32"/>
      <c r="O66" s="32"/>
      <c r="P66" s="32"/>
      <c r="Q66" s="32"/>
      <c r="R66" s="32"/>
      <c r="S66" s="32"/>
      <c r="T66" s="32"/>
      <c r="U66" s="32"/>
      <c r="V66" s="32"/>
      <c r="W66" s="32" t="s">
        <v>280</v>
      </c>
      <c r="X66" s="32">
        <v>1.1000000000000001</v>
      </c>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row>
    <row r="67" spans="1:157" ht="44.25" customHeight="1">
      <c r="A67" s="28" t="s">
        <v>339</v>
      </c>
      <c r="B67" s="374" t="s">
        <v>217</v>
      </c>
      <c r="D67" s="680" t="s">
        <v>340</v>
      </c>
      <c r="E67" s="680"/>
      <c r="F67" s="680"/>
      <c r="G67" s="224" t="str">
        <f ca="1">A232&amp;E232</f>
        <v>Heat pump type:Air to Water</v>
      </c>
      <c r="H67" s="34"/>
      <c r="I67" s="416" t="s">
        <v>341</v>
      </c>
      <c r="J67" s="417" t="s">
        <v>342</v>
      </c>
      <c r="K67" s="30"/>
      <c r="L67" s="30"/>
      <c r="M67" s="30"/>
      <c r="N67" s="32"/>
      <c r="O67" s="32"/>
      <c r="P67" s="32"/>
      <c r="Q67" s="32"/>
      <c r="R67" s="32"/>
      <c r="S67" s="32"/>
      <c r="T67" s="32"/>
      <c r="U67" s="32"/>
      <c r="V67" s="32"/>
      <c r="W67" s="32" t="s">
        <v>284</v>
      </c>
      <c r="X67" s="32">
        <v>1.1000000000000001</v>
      </c>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row>
    <row r="68" spans="1:157" ht="133.35" customHeight="1" thickBot="1">
      <c r="A68" s="28" t="s">
        <v>343</v>
      </c>
      <c r="B68" s="375" t="s">
        <v>249</v>
      </c>
      <c r="D68" s="691" t="str">
        <f ca="1">IF(OR(N11&lt;&gt;TRUE,ISNUMBER(SEARCH($B68,E235))),
"",
"ERROR: Check the option selected for water heating standard. Valid option(s) for this heat pump type as follows: "&amp;CHAR(10)&amp;E235)</f>
        <v/>
      </c>
      <c r="E68" s="691"/>
      <c r="F68" s="691"/>
      <c r="G68" s="224" t="str">
        <f ca="1">A233&amp;E233</f>
        <v>Electric or GAHP:Electricity</v>
      </c>
      <c r="H68" s="34"/>
      <c r="I68" s="418">
        <f>IF($B$68&lt;&gt;"I.S. EN 14825/14511",1,1-($B$72-J68)/($B$72-$B$71))</f>
        <v>1</v>
      </c>
      <c r="J68" s="419">
        <f>MIN($B$84,IF($B$67="Same Heat Pump providing Space Heating and Domestic Hot Water",$B$25,1000))</f>
        <v>0</v>
      </c>
      <c r="K68" s="30"/>
      <c r="L68" s="30"/>
      <c r="M68" s="30"/>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row>
    <row r="69" spans="1:157" ht="87" customHeight="1">
      <c r="A69" s="47" t="s">
        <v>344</v>
      </c>
      <c r="B69" s="378">
        <f>IF(B5="Yes",(1-DEAPEntries!B8)*DEAPEntries!B9*E192/DEAPEntries!I10,
                        (1-DEAPEntries!B8)*DEAPEntries!B9*E192)</f>
        <v>0</v>
      </c>
      <c r="C69" s="414" t="s">
        <v>345</v>
      </c>
      <c r="D69" s="680" t="s">
        <v>346</v>
      </c>
      <c r="E69" s="680"/>
      <c r="F69" s="680"/>
      <c r="G69" s="224" t="str">
        <f ca="1">A234&amp;E234</f>
        <v>Ecodesign based stds:Ecodesign applies and/or ecodesign data available</v>
      </c>
      <c r="H69" s="34"/>
      <c r="I69" s="33"/>
      <c r="J69" s="33"/>
      <c r="K69" s="30"/>
      <c r="L69" s="30"/>
      <c r="M69" s="30"/>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row>
    <row r="70" spans="1:157" ht="30.75" customHeight="1">
      <c r="A70" s="48" t="s">
        <v>347</v>
      </c>
      <c r="B70" s="374" t="s">
        <v>236</v>
      </c>
      <c r="C70" s="414"/>
      <c r="D70" s="680" t="s">
        <v>348</v>
      </c>
      <c r="E70" s="680"/>
      <c r="F70" s="680"/>
      <c r="G70" s="225"/>
      <c r="H70" s="34"/>
      <c r="I70" s="30"/>
      <c r="J70" s="46"/>
      <c r="K70" s="45"/>
      <c r="L70" s="45"/>
      <c r="M70" s="45"/>
      <c r="P70" s="32"/>
    </row>
    <row r="71" spans="1:157" ht="31.5" customHeight="1">
      <c r="A71" s="48" t="s">
        <v>349</v>
      </c>
      <c r="B71" s="436">
        <v>10</v>
      </c>
      <c r="C71" s="415" t="s">
        <v>290</v>
      </c>
      <c r="D71" s="680" t="s">
        <v>350</v>
      </c>
      <c r="E71" s="680"/>
      <c r="F71" s="680"/>
      <c r="G71" s="48"/>
      <c r="H71" s="44"/>
      <c r="I71" s="46"/>
      <c r="J71" s="46"/>
      <c r="K71" s="45"/>
      <c r="L71" s="45"/>
      <c r="M71" s="45"/>
      <c r="O71" s="32"/>
      <c r="P71" s="32"/>
    </row>
    <row r="72" spans="1:157" ht="31.5" customHeight="1">
      <c r="A72" s="48" t="s">
        <v>351</v>
      </c>
      <c r="B72" s="386">
        <f>IF(OR(B70="No Hot Water Store",B70="Integral Hot Water Storage"),60,65)</f>
        <v>65</v>
      </c>
      <c r="C72" s="415" t="s">
        <v>290</v>
      </c>
      <c r="D72" s="680" t="s">
        <v>352</v>
      </c>
      <c r="E72" s="680"/>
      <c r="F72" s="680"/>
      <c r="G72" s="48"/>
      <c r="H72" s="44" t="s">
        <v>23</v>
      </c>
      <c r="I72" s="45"/>
      <c r="J72" s="46"/>
      <c r="K72" s="30"/>
      <c r="L72" s="30"/>
      <c r="M72" s="30"/>
      <c r="O72" s="32"/>
      <c r="P72" s="32"/>
      <c r="U72" s="51"/>
      <c r="V72" s="51"/>
      <c r="W72" s="51"/>
    </row>
    <row r="73" spans="1:157" ht="31.5" customHeight="1">
      <c r="A73" s="48" t="s">
        <v>113</v>
      </c>
      <c r="B73" s="437">
        <f>DEAPEntries!B12</f>
        <v>0</v>
      </c>
      <c r="C73" s="414" t="str">
        <f>DEAPEntries!E12</f>
        <v>litres</v>
      </c>
      <c r="D73" s="680" t="str">
        <f>DEAPEntries!F12</f>
        <v>Sourced from DEAP: Water Heating: options and storage (or WH tab in DEAP workbook)</v>
      </c>
      <c r="E73" s="680">
        <f>DEAPEntries!G12</f>
        <v>0</v>
      </c>
      <c r="F73" s="680">
        <f>DEAPEntries!H12</f>
        <v>0</v>
      </c>
      <c r="H73" s="44"/>
      <c r="I73" s="45"/>
      <c r="J73" s="46"/>
      <c r="K73" s="45"/>
      <c r="L73" s="45"/>
      <c r="M73" s="45"/>
      <c r="O73" s="32"/>
      <c r="P73" s="32"/>
    </row>
    <row r="74" spans="1:157" ht="30" customHeight="1">
      <c r="A74" s="50" t="s">
        <v>353</v>
      </c>
      <c r="B74" s="388" t="s">
        <v>107</v>
      </c>
      <c r="D74" s="680" t="s">
        <v>319</v>
      </c>
      <c r="E74" s="680"/>
      <c r="F74" s="680"/>
      <c r="H74" s="44"/>
      <c r="I74" s="45"/>
      <c r="J74" s="46"/>
      <c r="K74" s="30"/>
      <c r="L74" s="30"/>
      <c r="M74" s="30"/>
    </row>
    <row r="75" spans="1:157" ht="30" customHeight="1">
      <c r="A75" s="48" t="s">
        <v>354</v>
      </c>
      <c r="B75" s="385" t="s">
        <v>218</v>
      </c>
      <c r="D75" s="680" t="s">
        <v>319</v>
      </c>
      <c r="E75" s="680"/>
      <c r="F75" s="680"/>
      <c r="H75" s="44"/>
      <c r="I75" s="45"/>
      <c r="J75" s="46"/>
      <c r="K75" s="30"/>
      <c r="L75" s="30"/>
      <c r="M75" s="30"/>
    </row>
    <row r="76" spans="1:157" ht="30" customHeight="1">
      <c r="A76" s="48" t="s">
        <v>355</v>
      </c>
      <c r="B76" s="386">
        <f>VLOOKUP(B75,W2:X12,2,)</f>
        <v>1.75</v>
      </c>
      <c r="H76" s="44"/>
      <c r="I76" s="45"/>
      <c r="J76" s="46"/>
      <c r="K76" s="45"/>
      <c r="L76" s="45"/>
      <c r="M76" s="45"/>
      <c r="P76" s="32"/>
    </row>
    <row r="77" spans="1:157" ht="83.25" customHeight="1">
      <c r="A77" s="48" t="s">
        <v>356</v>
      </c>
      <c r="B77" s="390"/>
      <c r="C77" s="414" t="s">
        <v>100</v>
      </c>
      <c r="D77" s="680" t="s">
        <v>323</v>
      </c>
      <c r="E77" s="680"/>
      <c r="F77" s="680"/>
      <c r="H77" s="44"/>
      <c r="I77" s="45"/>
      <c r="J77" s="46"/>
      <c r="K77" s="45"/>
      <c r="L77" s="45"/>
      <c r="M77" s="45"/>
      <c r="P77" s="32"/>
    </row>
    <row r="78" spans="1:157" ht="29.25" customHeight="1">
      <c r="A78" s="50" t="s">
        <v>357</v>
      </c>
      <c r="B78" s="389">
        <f>IF(B74="Yes",(G65/B76)*B77,1)</f>
        <v>1</v>
      </c>
      <c r="H78" s="44"/>
      <c r="I78" s="45"/>
      <c r="J78" s="46"/>
      <c r="K78" s="30"/>
      <c r="L78" s="30"/>
      <c r="M78" s="30"/>
      <c r="P78" s="32"/>
    </row>
    <row r="79" spans="1:157" ht="31.5" customHeight="1">
      <c r="B79" s="53"/>
      <c r="H79" s="44"/>
      <c r="I79" s="45"/>
      <c r="J79" s="46"/>
      <c r="K79" s="45"/>
      <c r="L79" s="45"/>
      <c r="M79" s="45"/>
      <c r="O79" s="32"/>
      <c r="P79" s="32"/>
    </row>
    <row r="80" spans="1:157" ht="57.6" customHeight="1" thickBot="1">
      <c r="A80" s="163" t="s">
        <v>358</v>
      </c>
      <c r="D80" s="715"/>
      <c r="E80" s="715"/>
      <c r="F80" s="715"/>
      <c r="G80" s="715"/>
      <c r="H80" s="44"/>
      <c r="I80" s="45"/>
      <c r="J80" s="76"/>
      <c r="K80" s="73"/>
      <c r="L80" s="73"/>
      <c r="M80" s="73"/>
      <c r="N80" s="32"/>
      <c r="O80" s="32"/>
      <c r="P80" s="32"/>
      <c r="Q80" s="32"/>
      <c r="R80" s="32"/>
      <c r="S80" s="32"/>
      <c r="T80" s="32"/>
    </row>
    <row r="81" spans="1:21" ht="30.75" customHeight="1">
      <c r="A81" s="438" t="s">
        <v>359</v>
      </c>
      <c r="B81" s="427" t="s">
        <v>360</v>
      </c>
      <c r="C81" s="428" t="s">
        <v>23</v>
      </c>
      <c r="D81" s="682" t="s">
        <v>361</v>
      </c>
      <c r="E81" s="682"/>
      <c r="F81" s="682"/>
      <c r="H81" s="44"/>
      <c r="I81" s="45"/>
      <c r="J81" s="72"/>
      <c r="K81" s="68"/>
      <c r="L81" s="68"/>
      <c r="M81" s="68"/>
      <c r="N81" s="32"/>
      <c r="O81" s="32"/>
      <c r="P81" s="32"/>
      <c r="Q81" s="32"/>
      <c r="R81" s="32"/>
      <c r="S81" s="32"/>
      <c r="T81" s="32"/>
      <c r="U81" s="32"/>
    </row>
    <row r="82" spans="1:21" ht="30.75" customHeight="1">
      <c r="A82" s="421" t="str">
        <f>B81</f>
        <v>Water heating energy efficiency, ηwh</v>
      </c>
      <c r="B82" s="429"/>
      <c r="C82" s="428" t="str">
        <f>IF(B81="Coefficient of Performance, COP","kW/kW","%")</f>
        <v>%</v>
      </c>
      <c r="D82" s="682" t="s">
        <v>361</v>
      </c>
      <c r="E82" s="682"/>
      <c r="F82" s="682"/>
      <c r="H82" s="44"/>
      <c r="I82" s="45"/>
      <c r="J82" s="74"/>
      <c r="K82" s="66"/>
      <c r="L82" s="66"/>
      <c r="M82" s="66"/>
      <c r="N82" s="32"/>
      <c r="O82" s="32"/>
      <c r="P82" s="32"/>
      <c r="Q82" s="32"/>
      <c r="R82" s="32"/>
      <c r="S82" s="32"/>
      <c r="T82" s="32"/>
      <c r="U82" s="32"/>
    </row>
    <row r="83" spans="1:21" ht="30.75" customHeight="1">
      <c r="A83" s="421" t="s">
        <v>362</v>
      </c>
      <c r="B83" s="430">
        <f>IF(B81="Coefficient of Performance, COP",B82,IF(G63=Q3,B82/100,B82*2.5/100))</f>
        <v>0</v>
      </c>
      <c r="C83" s="428" t="s">
        <v>363</v>
      </c>
      <c r="D83" s="431"/>
      <c r="E83" s="431"/>
      <c r="F83" s="431"/>
      <c r="H83" s="44"/>
      <c r="I83" s="45"/>
      <c r="J83" s="76"/>
      <c r="K83" s="73"/>
      <c r="L83" s="73"/>
      <c r="M83" s="73"/>
      <c r="N83" s="32"/>
      <c r="O83" s="32"/>
      <c r="P83" s="32"/>
      <c r="Q83" s="32"/>
      <c r="R83" s="32"/>
      <c r="S83" s="32"/>
      <c r="T83" s="32"/>
      <c r="U83" s="32"/>
    </row>
    <row r="84" spans="1:21" ht="98.45" customHeight="1">
      <c r="A84" s="421" t="s">
        <v>364</v>
      </c>
      <c r="B84" s="429"/>
      <c r="C84" s="432" t="s">
        <v>290</v>
      </c>
      <c r="D84" s="682" t="s">
        <v>365</v>
      </c>
      <c r="E84" s="682"/>
      <c r="F84" s="682"/>
      <c r="G84" s="112" t="str">
        <f>IF(AND(B84&gt;=52,B67="Same Heat Pump providing Space Heating and Domestic Hot Water",G10="Low temperature heat pump"),"WARNING:Where I.S. EN 14825/14511 is the water heating test standard, the low temperature heat pump may be used to provide DHW, however, hot water temperature must not exceed 52 degrees in this case. ",".")</f>
        <v>.</v>
      </c>
      <c r="H84" s="44"/>
      <c r="I84" s="45"/>
      <c r="J84" s="76"/>
      <c r="K84" s="73"/>
      <c r="L84" s="73"/>
      <c r="M84" s="73"/>
      <c r="N84" s="32"/>
      <c r="O84" s="32"/>
      <c r="P84" s="32"/>
      <c r="Q84" s="32"/>
      <c r="R84" s="32"/>
      <c r="S84" s="32"/>
      <c r="T84" s="32"/>
    </row>
    <row r="85" spans="1:21" ht="65.099999999999994" customHeight="1">
      <c r="A85" s="421" t="s">
        <v>366</v>
      </c>
      <c r="B85" s="433">
        <f>IF(B65=S1,7,IF(B65=S3,10,IF(B65=S4,20,IF(B65=S5,4,0))))</f>
        <v>7</v>
      </c>
      <c r="C85" s="432" t="s">
        <v>290</v>
      </c>
      <c r="D85" s="682" t="s">
        <v>367</v>
      </c>
      <c r="E85" s="682"/>
      <c r="F85" s="682"/>
      <c r="G85" s="112"/>
      <c r="H85" s="44"/>
      <c r="I85" s="45"/>
      <c r="J85" s="76"/>
      <c r="K85" s="73"/>
      <c r="L85" s="73"/>
      <c r="M85" s="73"/>
      <c r="N85" s="32"/>
      <c r="O85" s="32"/>
      <c r="P85" s="32"/>
      <c r="Q85" s="32"/>
      <c r="R85" s="32"/>
      <c r="S85" s="32"/>
      <c r="T85" s="32"/>
    </row>
    <row r="86" spans="1:21" ht="30.75" customHeight="1">
      <c r="A86" s="421" t="s">
        <v>368</v>
      </c>
      <c r="B86" s="429"/>
      <c r="C86" s="428" t="s">
        <v>369</v>
      </c>
      <c r="D86" s="682" t="s">
        <v>370</v>
      </c>
      <c r="E86" s="682"/>
      <c r="F86" s="682"/>
      <c r="H86" s="44"/>
      <c r="I86" s="45"/>
      <c r="J86" s="72"/>
      <c r="K86" s="68"/>
      <c r="L86" s="68"/>
      <c r="M86" s="68"/>
      <c r="N86" s="32"/>
      <c r="O86" s="32"/>
      <c r="P86" s="32"/>
      <c r="Q86" s="32"/>
      <c r="R86" s="32"/>
      <c r="S86" s="32"/>
      <c r="U86" s="32"/>
    </row>
    <row r="87" spans="1:21" ht="44.45" customHeight="1">
      <c r="A87" s="424" t="s">
        <v>371</v>
      </c>
      <c r="B87" s="434" t="s">
        <v>254</v>
      </c>
      <c r="C87" s="428"/>
      <c r="D87" s="682" t="s">
        <v>370</v>
      </c>
      <c r="E87" s="682"/>
      <c r="F87" s="682"/>
      <c r="G87" s="112" t="str">
        <f>IF(AND(B87&lt;&gt;"",$B$68="I.S. EN 14825/14511"),"Note: 'load profile', 'standby heat loss' and 'volume of DHW accounted for in test' are irrelevant for test data based on I.S. EN 14825/14511.","")</f>
        <v/>
      </c>
      <c r="H87" s="44"/>
      <c r="I87" s="45"/>
      <c r="J87" s="74"/>
      <c r="K87" s="66"/>
      <c r="L87" s="66"/>
      <c r="M87" s="66"/>
      <c r="N87" s="32"/>
      <c r="O87" s="32"/>
      <c r="P87" s="32"/>
      <c r="Q87" s="32"/>
      <c r="R87" s="32"/>
      <c r="S87" s="32"/>
    </row>
    <row r="88" spans="1:21" ht="45.6" customHeight="1">
      <c r="A88" s="424" t="s">
        <v>372</v>
      </c>
      <c r="B88" s="434"/>
      <c r="C88" s="428" t="s">
        <v>373</v>
      </c>
      <c r="D88" s="682" t="s">
        <v>374</v>
      </c>
      <c r="E88" s="682"/>
      <c r="F88" s="682"/>
      <c r="G88" s="112" t="str">
        <f>IF(AND(B88&lt;&gt;"",$B$68="I.S. EN 14825/14511"),"Note: 'load profile', 'standby heat loss' and 'volume of DHW accounted for in test' are irrelevant for test data based on I.S. EN 14825/14511.","")</f>
        <v/>
      </c>
      <c r="H88" s="44"/>
      <c r="I88" s="45"/>
      <c r="J88" s="76"/>
      <c r="K88" s="45"/>
      <c r="L88" s="45"/>
      <c r="M88" s="45"/>
      <c r="N88" s="32"/>
      <c r="O88" s="32"/>
      <c r="P88" s="32"/>
      <c r="Q88" s="32"/>
      <c r="R88" s="32"/>
      <c r="S88" s="32"/>
    </row>
    <row r="89" spans="1:21" ht="54.6" customHeight="1" thickBot="1">
      <c r="A89" s="425" t="s">
        <v>375</v>
      </c>
      <c r="B89" s="435"/>
      <c r="C89" s="428" t="s">
        <v>376</v>
      </c>
      <c r="D89" s="682" t="s">
        <v>361</v>
      </c>
      <c r="E89" s="682"/>
      <c r="F89" s="682"/>
      <c r="G89" s="112" t="str">
        <f>IF(AND(B89&lt;&gt;"",$B$68="I.S. EN 14825/14511"),"Note: 'load profile', 'standby heat loss' and 'volume of DHW accounted for in test' are irrelevant for test data based on I.S. EN 14825/14511.","")</f>
        <v/>
      </c>
      <c r="H89" s="44"/>
      <c r="I89" s="45"/>
      <c r="J89" s="76"/>
      <c r="K89" s="45"/>
      <c r="L89" s="45"/>
      <c r="M89" s="45"/>
      <c r="N89" s="32"/>
      <c r="O89" s="32"/>
      <c r="P89" s="32"/>
      <c r="Q89" s="32"/>
      <c r="R89" s="32"/>
      <c r="S89" s="32"/>
    </row>
    <row r="90" spans="1:21" ht="48" customHeight="1">
      <c r="A90" s="518" t="s">
        <v>377</v>
      </c>
      <c r="D90" s="715" t="str">
        <f ca="1">IF(B5="Yes","NOTE: Assessor must verify that the installed storage volume is greater than used in test results",IF(E219&gt;0,E221,IF(E220&gt;0,E222,"")))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E90" s="715"/>
      <c r="F90" s="715"/>
      <c r="G90" s="715"/>
      <c r="H90" s="44"/>
      <c r="I90" s="45"/>
      <c r="J90" s="76"/>
      <c r="K90" s="30"/>
      <c r="L90" s="30"/>
      <c r="M90" s="30"/>
      <c r="N90" s="32"/>
      <c r="O90" s="32"/>
      <c r="P90" s="32"/>
      <c r="Q90" s="32"/>
      <c r="R90" s="32"/>
      <c r="S90" s="32"/>
    </row>
    <row r="91" spans="1:21" ht="30.75" customHeight="1" thickBot="1">
      <c r="A91" s="59" t="s">
        <v>378</v>
      </c>
      <c r="H91" s="44"/>
      <c r="I91" s="45"/>
      <c r="J91" s="70"/>
      <c r="K91" s="68"/>
      <c r="L91" s="68"/>
      <c r="M91" s="68"/>
      <c r="N91" s="32"/>
      <c r="O91" s="32"/>
      <c r="P91" s="32"/>
      <c r="Q91" s="32"/>
      <c r="R91" s="32"/>
      <c r="S91" s="32"/>
      <c r="T91" s="32"/>
    </row>
    <row r="92" spans="1:21" ht="30.75" customHeight="1">
      <c r="A92" s="402" t="s">
        <v>379</v>
      </c>
      <c r="B92" s="439" t="s">
        <v>134</v>
      </c>
      <c r="C92" s="414"/>
      <c r="H92" s="44"/>
      <c r="I92" s="45"/>
      <c r="J92" s="72"/>
      <c r="K92" s="68"/>
      <c r="L92" s="68"/>
      <c r="M92" s="68"/>
      <c r="N92" s="32"/>
      <c r="O92" s="32"/>
      <c r="P92" s="32"/>
      <c r="Q92" s="32"/>
      <c r="R92" s="32"/>
      <c r="S92" s="32"/>
      <c r="T92" s="32"/>
    </row>
    <row r="93" spans="1:21" ht="30.75" customHeight="1">
      <c r="A93" s="403" t="s">
        <v>380</v>
      </c>
      <c r="B93" s="422">
        <v>3.33</v>
      </c>
      <c r="C93" s="414" t="s">
        <v>363</v>
      </c>
      <c r="D93" s="680" t="s">
        <v>381</v>
      </c>
      <c r="E93" s="680"/>
      <c r="F93" s="680"/>
      <c r="H93" s="44"/>
      <c r="I93" s="45"/>
      <c r="J93" s="72"/>
      <c r="K93" s="68"/>
      <c r="L93" s="68"/>
      <c r="M93" s="68"/>
      <c r="N93" s="32"/>
      <c r="O93" s="32"/>
      <c r="P93" s="32"/>
      <c r="Q93" s="32"/>
      <c r="R93" s="32"/>
      <c r="S93" s="32"/>
      <c r="T93" s="32"/>
    </row>
    <row r="94" spans="1:21" ht="30.75" customHeight="1">
      <c r="A94" s="421" t="s">
        <v>382</v>
      </c>
      <c r="B94" s="398" t="s">
        <v>134</v>
      </c>
      <c r="C94" s="414"/>
      <c r="D94" s="680" t="s">
        <v>383</v>
      </c>
      <c r="E94" s="680"/>
      <c r="F94" s="680"/>
      <c r="H94" s="44"/>
      <c r="I94" s="45"/>
      <c r="J94" s="72"/>
      <c r="K94" s="68"/>
      <c r="L94" s="68"/>
      <c r="M94" s="68"/>
      <c r="N94" s="32"/>
      <c r="O94" s="32"/>
      <c r="P94" s="32"/>
      <c r="Q94" s="32"/>
      <c r="R94" s="32"/>
      <c r="S94" s="32"/>
      <c r="T94" s="32"/>
      <c r="U94" s="32"/>
    </row>
    <row r="95" spans="1:21" ht="30.75" customHeight="1">
      <c r="A95" s="421" t="s">
        <v>384</v>
      </c>
      <c r="B95" s="398" t="s">
        <v>107</v>
      </c>
      <c r="C95" s="440" t="s">
        <v>23</v>
      </c>
      <c r="D95" s="680" t="s">
        <v>383</v>
      </c>
      <c r="E95" s="680"/>
      <c r="F95" s="680"/>
      <c r="H95" s="44"/>
      <c r="I95" s="45"/>
      <c r="J95" s="74"/>
      <c r="K95" s="66"/>
      <c r="L95" s="66"/>
      <c r="M95" s="66"/>
      <c r="N95" s="32"/>
      <c r="O95" s="32"/>
      <c r="P95" s="32"/>
      <c r="Q95" s="32"/>
      <c r="R95" s="32"/>
      <c r="S95" s="32"/>
      <c r="T95" s="32"/>
      <c r="U95" s="32"/>
    </row>
    <row r="96" spans="1:21" ht="30.75" customHeight="1" thickBot="1">
      <c r="A96" s="425" t="str">
        <f>IF(B72=65,"Does heat pump reach a flow temperature of &gt;=65oC","Does heat pump reach a flow temperature of &gt;=60oC")</f>
        <v>Does heat pump reach a flow temperature of &gt;=65oC</v>
      </c>
      <c r="B96" s="395" t="s">
        <v>134</v>
      </c>
      <c r="C96" s="440" t="s">
        <v>23</v>
      </c>
      <c r="D96" s="680" t="s">
        <v>385</v>
      </c>
      <c r="E96" s="680"/>
      <c r="F96" s="680"/>
      <c r="H96" s="44"/>
      <c r="I96" s="45"/>
      <c r="J96" s="76"/>
      <c r="K96" s="73"/>
      <c r="L96" s="73"/>
      <c r="M96" s="73"/>
      <c r="N96" s="32"/>
      <c r="O96" s="32"/>
      <c r="P96" s="32"/>
      <c r="Q96" s="32"/>
      <c r="R96" s="32"/>
      <c r="S96" s="32"/>
      <c r="T96" s="32"/>
    </row>
    <row r="97" spans="1:20" ht="30.75" customHeight="1">
      <c r="H97" s="44"/>
      <c r="I97" s="45"/>
      <c r="J97" s="76"/>
      <c r="K97" s="73"/>
      <c r="L97" s="73"/>
      <c r="M97" s="73"/>
      <c r="N97" s="32"/>
      <c r="O97" s="32"/>
      <c r="P97" s="32"/>
      <c r="Q97" s="32"/>
      <c r="R97" s="32"/>
      <c r="S97" s="32"/>
      <c r="T97" s="32"/>
    </row>
    <row r="98" spans="1:20" ht="33" customHeight="1">
      <c r="H98" s="44"/>
      <c r="I98" s="45"/>
      <c r="J98" s="46"/>
      <c r="K98" s="30"/>
      <c r="L98" s="30"/>
      <c r="M98" s="30"/>
      <c r="N98" s="32"/>
      <c r="O98" s="32"/>
      <c r="P98" s="32"/>
      <c r="Q98" s="32"/>
      <c r="R98" s="32"/>
      <c r="S98" s="32"/>
    </row>
    <row r="99" spans="1:20" ht="33" customHeight="1" thickBot="1">
      <c r="A99" s="59" t="s">
        <v>386</v>
      </c>
      <c r="H99" s="44"/>
      <c r="I99" s="45"/>
      <c r="J99" s="46"/>
      <c r="K99" s="30"/>
      <c r="L99" s="30"/>
      <c r="M99" s="30"/>
    </row>
    <row r="100" spans="1:20" ht="33" customHeight="1">
      <c r="A100" s="420" t="s">
        <v>387</v>
      </c>
      <c r="B100" s="441">
        <v>3.2</v>
      </c>
      <c r="C100" s="414" t="s">
        <v>363</v>
      </c>
      <c r="D100" s="680" t="s">
        <v>388</v>
      </c>
      <c r="E100" s="680"/>
      <c r="F100" s="680"/>
      <c r="H100" s="44"/>
      <c r="I100" s="45"/>
      <c r="J100" s="60"/>
      <c r="K100" s="45"/>
      <c r="L100" s="45"/>
      <c r="M100" s="30"/>
      <c r="N100" s="26" t="s">
        <v>23</v>
      </c>
    </row>
    <row r="101" spans="1:20" ht="37.5" customHeight="1">
      <c r="A101" s="421" t="s">
        <v>364</v>
      </c>
      <c r="B101" s="422">
        <v>54</v>
      </c>
      <c r="C101" s="415" t="s">
        <v>290</v>
      </c>
      <c r="D101" s="680" t="s">
        <v>389</v>
      </c>
      <c r="E101" s="680"/>
      <c r="F101" s="680"/>
      <c r="H101" s="44"/>
      <c r="I101" s="45"/>
      <c r="J101" s="46"/>
      <c r="K101" s="45"/>
      <c r="L101" s="45"/>
      <c r="M101" s="45"/>
      <c r="N101" s="26" t="s">
        <v>23</v>
      </c>
    </row>
    <row r="102" spans="1:20" ht="31.5" customHeight="1" thickBot="1">
      <c r="A102" s="425" t="s">
        <v>390</v>
      </c>
      <c r="B102" s="426">
        <v>7</v>
      </c>
      <c r="C102" s="414" t="s">
        <v>369</v>
      </c>
      <c r="D102" s="680" t="s">
        <v>388</v>
      </c>
      <c r="E102" s="680"/>
      <c r="F102" s="680"/>
      <c r="H102" s="44"/>
      <c r="I102" s="45"/>
      <c r="J102" s="46"/>
      <c r="K102" s="45"/>
      <c r="L102" s="45"/>
      <c r="M102" s="45"/>
    </row>
    <row r="103" spans="1:20" ht="31.5" customHeight="1" thickBot="1">
      <c r="H103" s="44"/>
      <c r="I103" s="45"/>
      <c r="J103" s="46"/>
      <c r="K103" s="45"/>
      <c r="L103" s="45"/>
      <c r="M103" s="45"/>
    </row>
    <row r="104" spans="1:20" ht="31.5" customHeight="1" thickBot="1">
      <c r="A104" s="43" t="s">
        <v>391</v>
      </c>
      <c r="B104" s="56"/>
      <c r="C104" s="56"/>
      <c r="D104" s="31"/>
      <c r="E104" s="31"/>
      <c r="F104" s="31"/>
      <c r="G104" s="31"/>
      <c r="H104" s="31"/>
      <c r="I104" s="31"/>
      <c r="J104" s="46"/>
      <c r="K104" s="45"/>
      <c r="L104" s="45"/>
      <c r="M104" s="45"/>
    </row>
    <row r="105" spans="1:20" ht="31.5" customHeight="1" thickBot="1">
      <c r="A105" s="77" t="s">
        <v>392</v>
      </c>
      <c r="H105" s="44"/>
      <c r="I105" s="45"/>
      <c r="J105" s="46"/>
      <c r="K105" s="45"/>
      <c r="L105" s="45"/>
      <c r="M105" s="45"/>
    </row>
    <row r="106" spans="1:20" ht="31.5" customHeight="1">
      <c r="A106" s="442" t="s">
        <v>393</v>
      </c>
      <c r="B106" s="443" t="e">
        <f ca="1">IF(OR(B14=N1,B14=N2, B14=N3),E201,B93)</f>
        <v>#VALUE!</v>
      </c>
      <c r="C106" s="414" t="s">
        <v>100</v>
      </c>
      <c r="D106" s="681"/>
      <c r="E106" s="681"/>
      <c r="F106" s="681"/>
      <c r="G106" s="414" t="s">
        <v>23</v>
      </c>
      <c r="H106" s="444"/>
      <c r="I106" s="445"/>
      <c r="J106" s="46"/>
      <c r="K106" s="45"/>
      <c r="L106" s="45"/>
      <c r="M106" s="45"/>
    </row>
    <row r="107" spans="1:20" ht="31.5" customHeight="1">
      <c r="A107" s="446" t="s">
        <v>394</v>
      </c>
      <c r="B107" s="447">
        <f>IF(OR(B14=N1,B14=N2, B14=N3),1,IF(B25=35,1,IF(B25&lt;50,0.85,IF(B94="Yes",0.75,0.7))))</f>
        <v>1</v>
      </c>
      <c r="C107" s="414"/>
      <c r="D107" s="681"/>
      <c r="E107" s="681"/>
      <c r="F107" s="681"/>
      <c r="G107" s="414"/>
      <c r="H107" s="444"/>
      <c r="I107" s="445"/>
      <c r="J107" s="46"/>
      <c r="K107" s="45"/>
      <c r="L107" s="45"/>
      <c r="M107" s="45"/>
    </row>
    <row r="108" spans="1:20" ht="31.5" customHeight="1">
      <c r="A108" s="446" t="s">
        <v>395</v>
      </c>
      <c r="B108" s="448" t="e">
        <f ca="1">IF(OR(B68=N5,B68=N7, B68=N8),E213,IF(B68="I.S. EN 255-3",E217,E218))</f>
        <v>#DIV/0!</v>
      </c>
      <c r="C108" s="414" t="s">
        <v>100</v>
      </c>
      <c r="D108" s="681"/>
      <c r="E108" s="681"/>
      <c r="F108" s="681"/>
      <c r="G108" s="414"/>
      <c r="H108" s="444"/>
      <c r="I108" s="445"/>
      <c r="J108" s="60"/>
      <c r="K108" s="45"/>
      <c r="L108" s="45"/>
      <c r="M108" s="45"/>
    </row>
    <row r="109" spans="1:20" ht="31.5" customHeight="1" thickBot="1">
      <c r="A109" s="449" t="s">
        <v>396</v>
      </c>
      <c r="B109" s="450">
        <f>IF(B68="I.S. EN 14511",IF(AND(B95="No",B96="Yes"),0.7,1),1)</f>
        <v>1</v>
      </c>
      <c r="C109" s="414"/>
      <c r="D109" s="681"/>
      <c r="E109" s="681"/>
      <c r="F109" s="681"/>
      <c r="G109" s="414"/>
      <c r="H109" s="444"/>
      <c r="I109" s="445"/>
      <c r="J109" s="60"/>
      <c r="K109" s="45"/>
      <c r="L109" s="45"/>
      <c r="M109" s="45"/>
    </row>
    <row r="110" spans="1:20" ht="16.5" thickBot="1">
      <c r="A110" s="414"/>
      <c r="B110" s="414"/>
      <c r="C110" s="414"/>
      <c r="D110" s="423"/>
      <c r="E110" s="423"/>
      <c r="F110" s="423"/>
      <c r="G110" s="445"/>
      <c r="H110" s="444"/>
      <c r="I110" s="445"/>
      <c r="J110" s="60"/>
      <c r="K110" s="45"/>
      <c r="L110" s="45"/>
      <c r="M110" s="45"/>
    </row>
    <row r="111" spans="1:20" ht="31.5" customHeight="1" thickBot="1">
      <c r="A111" s="451" t="s">
        <v>397</v>
      </c>
      <c r="B111" s="452">
        <f ca="1">MAX(E207,0)</f>
        <v>1</v>
      </c>
      <c r="C111" s="423" t="s">
        <v>398</v>
      </c>
      <c r="D111" s="423"/>
      <c r="E111" s="423"/>
      <c r="F111" s="423"/>
      <c r="G111" s="453" t="s">
        <v>399</v>
      </c>
      <c r="H111" s="444"/>
      <c r="I111" s="445"/>
      <c r="J111" s="60"/>
      <c r="K111" s="45"/>
      <c r="L111" s="45"/>
      <c r="M111" s="45"/>
    </row>
    <row r="112" spans="1:20" ht="36.75" customHeight="1" thickBot="1">
      <c r="A112" s="451" t="s">
        <v>400</v>
      </c>
      <c r="B112" s="452">
        <f ca="1">MAX(E216,0)</f>
        <v>1</v>
      </c>
      <c r="C112" s="423" t="s">
        <v>398</v>
      </c>
      <c r="D112" s="423"/>
      <c r="E112" s="423"/>
      <c r="F112" s="423"/>
      <c r="G112" s="454">
        <f>IF(OR(LEFT(B12,7)="Exhaust",LEFT(B65,7)="Exhaust"),E195,0)</f>
        <v>0</v>
      </c>
      <c r="H112" s="444"/>
      <c r="I112" s="445"/>
      <c r="J112" s="46"/>
      <c r="K112" s="45"/>
      <c r="L112" s="45"/>
      <c r="M112" s="45"/>
    </row>
    <row r="113" spans="1:14">
      <c r="A113" s="414"/>
      <c r="B113" s="414"/>
      <c r="C113" s="414"/>
      <c r="D113" s="423"/>
      <c r="E113" s="423"/>
      <c r="F113" s="423"/>
      <c r="G113" s="453" t="s">
        <v>401</v>
      </c>
      <c r="H113" s="444"/>
      <c r="I113" s="445"/>
      <c r="J113" s="46"/>
      <c r="K113" s="45"/>
      <c r="L113" s="45"/>
      <c r="M113" s="45"/>
    </row>
    <row r="114" spans="1:14" ht="16.5" thickBot="1">
      <c r="A114" s="414"/>
      <c r="B114" s="455"/>
      <c r="C114" s="414"/>
      <c r="D114" s="423"/>
      <c r="E114" s="423"/>
      <c r="F114" s="423"/>
      <c r="G114" s="456" t="b">
        <f>IF(E193="No",FALSE,TRUE)</f>
        <v>0</v>
      </c>
      <c r="H114" s="444"/>
      <c r="I114" s="445"/>
      <c r="J114" s="46"/>
      <c r="K114" s="45"/>
      <c r="L114" s="45"/>
      <c r="M114" s="45"/>
    </row>
    <row r="115" spans="1:14" ht="53.45" customHeight="1">
      <c r="A115" s="442" t="s">
        <v>402</v>
      </c>
      <c r="B115" s="457" t="e">
        <f ca="1">IF(B14="I.S. EN 14511",1,E203/E199)</f>
        <v>#VALUE!</v>
      </c>
      <c r="C115" s="458" t="s">
        <v>403</v>
      </c>
      <c r="D115" s="459" t="e">
        <f ca="1">IF(B14=N4,IF(B5="No",B17,B17*B8/B7),E203)</f>
        <v>#VALUE!</v>
      </c>
      <c r="E115" s="423" t="s">
        <v>404</v>
      </c>
      <c r="F115" s="460" t="e">
        <f ca="1">IF(B14="I.S. EN 14511",(B106*B107)*100,E204*100)</f>
        <v>#VALUE!</v>
      </c>
      <c r="G115" s="414"/>
      <c r="H115" s="444"/>
      <c r="I115" s="445"/>
      <c r="J115" s="46"/>
      <c r="K115" s="45"/>
      <c r="L115" s="45"/>
      <c r="M115" s="45"/>
    </row>
    <row r="116" spans="1:14" ht="45" customHeight="1" thickBot="1">
      <c r="A116" s="449" t="s">
        <v>405</v>
      </c>
      <c r="B116" s="461">
        <f ca="1">IF(OR(B68=N5,B68=N7, B68=N8),1-E210,1)</f>
        <v>-0.18181818181818188</v>
      </c>
      <c r="C116" s="458" t="s">
        <v>406</v>
      </c>
      <c r="D116" s="462" t="e">
        <f ca="1">IF(OR(B68=N5,B68=N7,B68=N8),E215,IF(B5="No",B69,B69*B8/B7))</f>
        <v>#DIV/0!</v>
      </c>
      <c r="E116" s="423" t="s">
        <v>407</v>
      </c>
      <c r="F116" s="463">
        <f ca="1">IF(OR(B68=N5,B68=N7,B68=N8),E209*100,(B108*B109)*100)</f>
        <v>0</v>
      </c>
      <c r="G116" s="414"/>
      <c r="H116" s="444"/>
      <c r="I116" s="445"/>
      <c r="J116" s="46"/>
      <c r="K116" s="30"/>
      <c r="L116" s="30"/>
      <c r="M116" s="30"/>
    </row>
    <row r="117" spans="1:14" ht="30.75" customHeight="1" thickBot="1">
      <c r="A117" s="414"/>
      <c r="B117" s="414"/>
      <c r="C117" s="414"/>
      <c r="D117" s="423"/>
      <c r="E117" s="423"/>
      <c r="F117" s="423"/>
      <c r="G117" s="414"/>
      <c r="H117" s="444"/>
      <c r="I117" s="445"/>
      <c r="J117" s="46"/>
      <c r="K117" s="30"/>
      <c r="L117" s="30"/>
      <c r="M117" s="30"/>
    </row>
    <row r="118" spans="1:14" ht="31.5" customHeight="1" thickBot="1">
      <c r="A118" s="464" t="s">
        <v>408</v>
      </c>
      <c r="B118" s="465"/>
      <c r="C118" s="465"/>
      <c r="D118" s="466"/>
      <c r="E118" s="466"/>
      <c r="F118" s="466"/>
      <c r="G118" s="466"/>
      <c r="H118" s="466"/>
      <c r="I118" s="466"/>
      <c r="J118" s="46"/>
      <c r="K118" s="45"/>
      <c r="L118" s="45"/>
      <c r="M118" s="45"/>
    </row>
    <row r="119" spans="1:14" ht="18.75" customHeight="1" thickBot="1">
      <c r="A119" s="414"/>
      <c r="B119" s="414"/>
      <c r="C119" s="414"/>
      <c r="D119" s="423"/>
      <c r="E119" s="423"/>
      <c r="F119" s="423"/>
      <c r="G119" s="414"/>
      <c r="H119" s="444"/>
      <c r="I119" s="445"/>
      <c r="J119" s="60"/>
      <c r="K119" s="45"/>
      <c r="L119" s="45"/>
      <c r="M119" s="45"/>
      <c r="N119" s="55" t="s">
        <v>23</v>
      </c>
    </row>
    <row r="120" spans="1:14" ht="43.35" customHeight="1">
      <c r="A120" s="467" t="s">
        <v>409</v>
      </c>
      <c r="B120" s="468" t="s">
        <v>410</v>
      </c>
      <c r="C120" s="469" t="s">
        <v>411</v>
      </c>
      <c r="D120" s="470" t="s">
        <v>412</v>
      </c>
      <c r="E120" s="471" t="s">
        <v>413</v>
      </c>
      <c r="F120" s="472" t="s">
        <v>414</v>
      </c>
      <c r="G120" s="414"/>
      <c r="H120" s="444"/>
      <c r="I120" s="445"/>
      <c r="J120" s="58"/>
      <c r="K120" s="57"/>
      <c r="L120" s="57"/>
      <c r="M120" s="57"/>
    </row>
    <row r="121" spans="1:14" ht="30.75" customHeight="1">
      <c r="A121" s="473" t="s">
        <v>202</v>
      </c>
      <c r="B121" s="474" t="e">
        <f ca="1">F115</f>
        <v>#VALUE!</v>
      </c>
      <c r="C121" s="475" t="e">
        <f ca="1">IF($B$5="No",D115,D115*$B$7/$B$8)</f>
        <v>#VALUE!</v>
      </c>
      <c r="D121" s="475" t="e">
        <f ca="1">100*C121/B121</f>
        <v>#VALUE!</v>
      </c>
      <c r="E121" s="476" t="e">
        <f ca="1">(C121-D121)</f>
        <v>#VALUE!</v>
      </c>
      <c r="F121" s="477" t="e">
        <f ca="1">IF(OR(B14=N1,B14=N2,B14=N3),
IF($B$5="No",E121-E205,
             B8*E121/B7-E205),"N/A")</f>
        <v>#VALUE!</v>
      </c>
      <c r="G121" s="478"/>
      <c r="H121" s="423"/>
      <c r="I121" s="479"/>
      <c r="J121" s="46"/>
      <c r="K121" s="45"/>
      <c r="L121" s="45"/>
      <c r="M121" s="45"/>
    </row>
    <row r="122" spans="1:14" ht="30.75" customHeight="1" thickBot="1">
      <c r="A122" s="480" t="s">
        <v>415</v>
      </c>
      <c r="B122" s="481">
        <f ca="1">F116</f>
        <v>0</v>
      </c>
      <c r="C122" s="482" t="e">
        <f ca="1">IF($B$5="No",D116,D116*$B$7/$B$8)</f>
        <v>#DIV/0!</v>
      </c>
      <c r="D122" s="482" t="e">
        <f ca="1">100*C122/B122</f>
        <v>#DIV/0!</v>
      </c>
      <c r="E122" s="483" t="e">
        <f ca="1">(C122-D122)</f>
        <v>#DIV/0!</v>
      </c>
      <c r="F122" s="484" t="e">
        <f ca="1">IF(OR(B68=N5,B68=N7,B68=N8),
IF(B5="No",E122-E214,
       B8*E122/B7-E214),
"N/A")</f>
        <v>#DIV/0!</v>
      </c>
      <c r="G122" s="478"/>
      <c r="H122" s="423"/>
      <c r="I122" s="479"/>
      <c r="J122" s="46"/>
      <c r="K122" s="45"/>
      <c r="L122" s="45"/>
      <c r="M122" s="45"/>
    </row>
    <row r="123" spans="1:14" ht="38.450000000000003" customHeight="1">
      <c r="A123" s="485" t="s">
        <v>416</v>
      </c>
      <c r="B123" s="468" t="s">
        <v>410</v>
      </c>
      <c r="C123" s="469" t="s">
        <v>411</v>
      </c>
      <c r="D123" s="470" t="s">
        <v>412</v>
      </c>
      <c r="E123" s="471" t="s">
        <v>413</v>
      </c>
      <c r="F123" s="486" t="s">
        <v>417</v>
      </c>
      <c r="G123" s="414"/>
      <c r="H123" s="423"/>
      <c r="I123" s="479"/>
      <c r="J123" s="46"/>
      <c r="K123" s="45"/>
      <c r="L123" s="45"/>
      <c r="M123" s="45"/>
    </row>
    <row r="124" spans="1:14" ht="30.75" customHeight="1">
      <c r="A124" s="473" t="s">
        <v>202</v>
      </c>
      <c r="B124" s="474" t="e">
        <f ca="1">B106*100</f>
        <v>#VALUE!</v>
      </c>
      <c r="C124" s="475">
        <f ca="1">IF($B$5="No",E199,E199*$B$7/$B$8)</f>
        <v>0</v>
      </c>
      <c r="D124" s="475" t="e">
        <f ca="1">100*C124/B124</f>
        <v>#VALUE!</v>
      </c>
      <c r="E124" s="476" t="e">
        <f ca="1">(C124-D124)</f>
        <v>#VALUE!</v>
      </c>
      <c r="F124" s="477" t="e">
        <f ca="1">IF(OR(B14=N1,B14=N2,B14=N3),
-E124+
IF(B5="No",(E199-E200),
(B7/B8)*((E199-E200))),
"N/A")</f>
        <v>#VALUE!</v>
      </c>
      <c r="G124" s="414"/>
      <c r="H124" s="423"/>
      <c r="I124" s="479"/>
      <c r="J124" s="46"/>
      <c r="K124" s="45"/>
      <c r="L124" s="45"/>
      <c r="M124" s="45"/>
    </row>
    <row r="125" spans="1:14" ht="30.75" customHeight="1" thickBot="1">
      <c r="A125" s="480" t="s">
        <v>415</v>
      </c>
      <c r="B125" s="481" t="e">
        <f ca="1">B108*100</f>
        <v>#DIV/0!</v>
      </c>
      <c r="C125" s="475">
        <f ca="1">IF($B$5="No",E211,E211*$B$7/$B$8)</f>
        <v>0</v>
      </c>
      <c r="D125" s="482" t="e">
        <f ca="1">100*C125/B125</f>
        <v>#DIV/0!</v>
      </c>
      <c r="E125" s="483" t="e">
        <f ca="1">(C125-D125)</f>
        <v>#DIV/0!</v>
      </c>
      <c r="F125" s="484" t="e">
        <f ca="1">IF(OR(B68=N5,B68=N7,B68=N8),
-E125+
IF(B5="no",(E211-E212),
(B7/B8)*(E211-E212)),
"N/A")</f>
        <v>#DIV/0!</v>
      </c>
      <c r="G125" s="414"/>
      <c r="H125" s="423"/>
      <c r="I125" s="479"/>
      <c r="J125" s="46"/>
      <c r="K125" s="45"/>
      <c r="L125" s="45"/>
      <c r="M125" s="45"/>
    </row>
    <row r="126" spans="1:14" ht="71.45" customHeight="1">
      <c r="A126" s="467" t="s">
        <v>418</v>
      </c>
      <c r="B126" s="487" t="s">
        <v>419</v>
      </c>
      <c r="C126" s="487" t="s">
        <v>420</v>
      </c>
      <c r="D126" s="487" t="s">
        <v>421</v>
      </c>
      <c r="E126" s="487" t="s">
        <v>422</v>
      </c>
      <c r="F126" s="488" t="s">
        <v>423</v>
      </c>
      <c r="G126" s="489" t="s">
        <v>424</v>
      </c>
      <c r="H126" s="489" t="s">
        <v>425</v>
      </c>
      <c r="I126" s="489" t="s">
        <v>426</v>
      </c>
      <c r="J126" s="46"/>
      <c r="K126" s="45"/>
      <c r="L126" s="45"/>
      <c r="M126" s="45"/>
    </row>
    <row r="127" spans="1:14" ht="38.450000000000003" customHeight="1">
      <c r="A127" s="473" t="s">
        <v>202</v>
      </c>
      <c r="B127" s="490" t="e">
        <f ca="1">E121-E124</f>
        <v>#VALUE!</v>
      </c>
      <c r="C127" s="490" t="e">
        <f ca="1">-(1-$B$111)*E121</f>
        <v>#VALUE!</v>
      </c>
      <c r="D127" s="649">
        <v>0</v>
      </c>
      <c r="E127" s="490">
        <f>IF($G$114,-E124-B127-C127,0)</f>
        <v>0</v>
      </c>
      <c r="F127" s="491" t="e">
        <f ca="1">SUM(B127:E127)</f>
        <v>#VALUE!</v>
      </c>
      <c r="G127" s="492" t="e">
        <f ca="1">E124</f>
        <v>#VALUE!</v>
      </c>
      <c r="H127" s="492" t="e">
        <f ca="1">IF($G$114=TRUE,0,E121*B111)</f>
        <v>#VALUE!</v>
      </c>
      <c r="I127" s="493" t="e">
        <f ca="1">G127+F127-H127</f>
        <v>#VALUE!</v>
      </c>
      <c r="J127" s="46"/>
      <c r="K127" s="45"/>
      <c r="L127" s="45"/>
      <c r="M127" s="45"/>
    </row>
    <row r="128" spans="1:14" ht="16.5" thickBot="1">
      <c r="A128" s="480" t="s">
        <v>415</v>
      </c>
      <c r="B128" s="494" t="e">
        <f ca="1">E122-E125</f>
        <v>#DIV/0!</v>
      </c>
      <c r="C128" s="647" t="e">
        <f ca="1">-(1-$B$112)*E122</f>
        <v>#DIV/0!</v>
      </c>
      <c r="D128" s="490">
        <v>0</v>
      </c>
      <c r="E128" s="648">
        <f>IF($G$114,-E125-B128-C128,0)</f>
        <v>0</v>
      </c>
      <c r="F128" s="653" t="e">
        <f ca="1">SUM(B128:E128)</f>
        <v>#DIV/0!</v>
      </c>
      <c r="G128" s="656" t="e">
        <f ca="1">E125</f>
        <v>#DIV/0!</v>
      </c>
      <c r="H128" s="492" t="e">
        <f ca="1">IF($G$114=TRUE,0,E122*B112)</f>
        <v>#DIV/0!</v>
      </c>
      <c r="I128" s="493" t="e">
        <f ca="1">G128+F128-H128</f>
        <v>#DIV/0!</v>
      </c>
      <c r="J128" s="46"/>
      <c r="K128" s="45"/>
      <c r="L128" s="45"/>
      <c r="M128" s="45"/>
    </row>
    <row r="129" spans="1:13" ht="32.25" customHeight="1">
      <c r="A129" s="414"/>
      <c r="B129" s="414"/>
      <c r="C129" s="414"/>
      <c r="D129" s="423"/>
      <c r="E129" s="423"/>
      <c r="F129" s="423"/>
      <c r="G129" s="414"/>
      <c r="H129" s="423"/>
      <c r="I129" s="479"/>
      <c r="J129" s="46"/>
      <c r="K129" s="30"/>
      <c r="L129" s="30"/>
      <c r="M129" s="30"/>
    </row>
    <row r="187" spans="1:13" ht="16.5" thickBot="1">
      <c r="A187" s="242" t="s">
        <v>427</v>
      </c>
      <c r="B187" s="242"/>
      <c r="C187" s="242"/>
      <c r="D187" s="243"/>
      <c r="E187" s="243"/>
      <c r="F187" s="243"/>
      <c r="G187" s="242"/>
      <c r="H187" s="243"/>
      <c r="I187" s="244"/>
      <c r="J187" s="242"/>
      <c r="K187" s="244"/>
      <c r="L187" s="244"/>
    </row>
    <row r="188" spans="1:13" ht="16.5" thickBot="1">
      <c r="A188" s="249" t="s">
        <v>84</v>
      </c>
      <c r="B188" s="253" t="s">
        <v>116</v>
      </c>
      <c r="C188" s="253" t="s">
        <v>117</v>
      </c>
      <c r="D188" s="253" t="s">
        <v>118</v>
      </c>
      <c r="E188" s="256" t="s">
        <v>428</v>
      </c>
      <c r="F188" s="253"/>
      <c r="G188" s="253"/>
      <c r="H188" s="256"/>
      <c r="I188" s="256">
        <v>1</v>
      </c>
      <c r="J188" s="256">
        <v>2</v>
      </c>
      <c r="K188" s="256">
        <v>3</v>
      </c>
      <c r="L188" s="256" t="s">
        <v>119</v>
      </c>
      <c r="M188" s="256" t="s">
        <v>428</v>
      </c>
    </row>
    <row r="189" spans="1:13" ht="31.5">
      <c r="A189" s="251" t="s">
        <v>120</v>
      </c>
      <c r="B189" s="260" t="str">
        <f>INDEX(DEAPEntries!$B$13:$D$20,MATCH($A189,DEAPEntries!$A$13:$A$20,0),MATCH(B$188,DEAPEntries!$B$13:$D$13,0))</f>
        <v>Heat Pump</v>
      </c>
      <c r="C189" s="260" t="str">
        <f>INDEX(DEAPEntries!$B$13:$D$20,MATCH($A189,DEAPEntries!$A$13:$A$20,0),MATCH(C$188,DEAPEntries!$B$13:$D$13,0))</f>
        <v>Heat Pump</v>
      </c>
      <c r="D189" s="260" t="str">
        <f>INDEX(DEAPEntries!$B$13:$D$20,MATCH($A189,DEAPEntries!$A$13:$A$20,0),MATCH(D$188,DEAPEntries!$B$13:$D$13,0))</f>
        <v>Heat Pump</v>
      </c>
      <c r="E189" s="257" t="str">
        <f t="shared" ref="E189:E195" si="1">VLOOKUP(A189,A189:D189,$G$1+1,FALSE)</f>
        <v>Heat Pump</v>
      </c>
      <c r="F189" s="245"/>
      <c r="G189" s="243"/>
      <c r="H189" s="264" t="s">
        <v>122</v>
      </c>
      <c r="I189" s="263" t="b">
        <f t="shared" ref="I189:K190" si="2">IF(B189="None",FALSE,TRUE)</f>
        <v>1</v>
      </c>
      <c r="J189" s="261" t="b">
        <f t="shared" si="2"/>
        <v>1</v>
      </c>
      <c r="K189" s="261" t="b">
        <f t="shared" si="2"/>
        <v>1</v>
      </c>
      <c r="L189" s="261" t="b">
        <f>IF(OR(I189,J189,K189),TRUE,FALSE)</f>
        <v>1</v>
      </c>
      <c r="M189" s="257" t="b">
        <f>VLOOKUP(H189,H189:L189,$G$1+1,FALSE)</f>
        <v>1</v>
      </c>
    </row>
    <row r="190" spans="1:13">
      <c r="A190" s="251" t="s">
        <v>123</v>
      </c>
      <c r="B190" s="260" t="str">
        <f>INDEX(DEAPEntries!$B$13:$D$20,MATCH($A190,DEAPEntries!$A$13:$A$20,0),MATCH(B$188,DEAPEntries!$B$13:$D$13,0))</f>
        <v>Heat Pump</v>
      </c>
      <c r="C190" s="260" t="str">
        <f>INDEX(DEAPEntries!$B$13:$D$20,MATCH($A190,DEAPEntries!$A$13:$A$20,0),MATCH(C$188,DEAPEntries!$B$13:$D$13,0))</f>
        <v>Heat Pump</v>
      </c>
      <c r="D190" s="260" t="str">
        <f>INDEX(DEAPEntries!$B$13:$D$20,MATCH($A190,DEAPEntries!$A$13:$A$20,0),MATCH(D$188,DEAPEntries!$B$13:$D$13,0))</f>
        <v>Heat Pump</v>
      </c>
      <c r="E190" s="257" t="str">
        <f t="shared" si="1"/>
        <v>Heat Pump</v>
      </c>
      <c r="F190" s="245"/>
      <c r="G190" s="243"/>
      <c r="H190" s="264" t="s">
        <v>124</v>
      </c>
      <c r="I190" s="263" t="b">
        <f t="shared" si="2"/>
        <v>1</v>
      </c>
      <c r="J190" s="261" t="b">
        <f t="shared" si="2"/>
        <v>1</v>
      </c>
      <c r="K190" s="261" t="b">
        <f t="shared" si="2"/>
        <v>1</v>
      </c>
      <c r="L190" s="261" t="b">
        <f>IF(OR(I190,J190,K190),TRUE,FALSE)</f>
        <v>1</v>
      </c>
      <c r="M190" s="257" t="b">
        <f>VLOOKUP(H190,H190:L190,$G$1+1,FALSE)</f>
        <v>1</v>
      </c>
    </row>
    <row r="191" spans="1:13">
      <c r="A191" s="251" t="s">
        <v>125</v>
      </c>
      <c r="B191" s="266">
        <f>INDEX(DEAPEntries!$B$13:$D$20,MATCH($A191,DEAPEntries!$A$13:$A$20,0),MATCH(B$188,DEAPEntries!$B$13:$D$13,0))</f>
        <v>1</v>
      </c>
      <c r="C191" s="266">
        <f>INDEX(DEAPEntries!$B$13:$D$20,MATCH($A191,DEAPEntries!$A$13:$A$20,0),MATCH(C$188,DEAPEntries!$B$13:$D$13,0))</f>
        <v>0</v>
      </c>
      <c r="D191" s="266">
        <f>INDEX(DEAPEntries!$B$13:$D$20,MATCH($A191,DEAPEntries!$A$13:$A$20,0),MATCH(D$188,DEAPEntries!$B$13:$D$13,0))</f>
        <v>0</v>
      </c>
      <c r="E191" s="267">
        <f t="shared" si="1"/>
        <v>0</v>
      </c>
      <c r="F191" s="245"/>
      <c r="G191" s="243"/>
      <c r="H191" s="243"/>
      <c r="I191" s="254"/>
      <c r="J191" s="250"/>
      <c r="K191" s="250"/>
      <c r="L191" s="254"/>
    </row>
    <row r="192" spans="1:13">
      <c r="A192" s="251" t="s">
        <v>128</v>
      </c>
      <c r="B192" s="266">
        <f>INDEX(DEAPEntries!$B$13:$D$20,MATCH($A192,DEAPEntries!$A$13:$A$20,0),MATCH(B$188,DEAPEntries!$B$13:$D$13,0))</f>
        <v>1</v>
      </c>
      <c r="C192" s="266">
        <f>INDEX(DEAPEntries!$B$13:$D$20,MATCH($A192,DEAPEntries!$A$13:$A$20,0),MATCH(C$188,DEAPEntries!$B$13:$D$13,0))</f>
        <v>0</v>
      </c>
      <c r="D192" s="266">
        <f>INDEX(DEAPEntries!$B$13:$D$20,MATCH($A192,DEAPEntries!$A$13:$A$20,0),MATCH(D$188,DEAPEntries!$B$13:$D$13,0))</f>
        <v>0</v>
      </c>
      <c r="E192" s="267">
        <f t="shared" si="1"/>
        <v>0</v>
      </c>
      <c r="F192" s="245"/>
      <c r="G192" s="243"/>
      <c r="H192" s="243"/>
      <c r="I192" s="254"/>
      <c r="J192" s="250"/>
      <c r="K192" s="250"/>
      <c r="L192" s="254"/>
    </row>
    <row r="193" spans="1:29">
      <c r="A193" s="251" t="s">
        <v>131</v>
      </c>
      <c r="B193" s="266" t="str">
        <f>INDEX(DEAPEntries!$B$13:$D$20,MATCH($A193,DEAPEntries!$A$13:$A$20,0),MATCH(B$188,DEAPEntries!$B$13:$D$13,0))</f>
        <v>No</v>
      </c>
      <c r="C193" s="266" t="str">
        <f>INDEX(DEAPEntries!$B$13:$D$20,MATCH($A193,DEAPEntries!$A$13:$A$20,0),MATCH(C$188,DEAPEntries!$B$13:$D$13,0))</f>
        <v>No</v>
      </c>
      <c r="D193" s="266" t="str">
        <f>INDEX(DEAPEntries!$B$13:$D$20,MATCH($A193,DEAPEntries!$A$13:$A$20,0),MATCH(D$188,DEAPEntries!$B$13:$D$13,0))</f>
        <v>No</v>
      </c>
      <c r="E193" s="267" t="str">
        <f t="shared" si="1"/>
        <v>No</v>
      </c>
      <c r="F193" s="245"/>
      <c r="G193" s="243"/>
      <c r="H193" s="243"/>
      <c r="I193" s="254"/>
      <c r="J193" s="250"/>
      <c r="K193" s="250"/>
      <c r="L193" s="250"/>
    </row>
    <row r="194" spans="1:29">
      <c r="A194" s="252" t="s">
        <v>133</v>
      </c>
      <c r="B194" s="266" t="str">
        <f>INDEX(DEAPEntries!$B$13:$D$20,MATCH($A194,DEAPEntries!$A$13:$A$20,0),MATCH(B$188,DEAPEntries!$B$13:$D$13,0))</f>
        <v>Yes</v>
      </c>
      <c r="C194" s="266" t="str">
        <f>INDEX(DEAPEntries!$B$13:$D$20,MATCH($A194,DEAPEntries!$A$13:$A$20,0),MATCH(C$188,DEAPEntries!$B$13:$D$13,0))</f>
        <v>No</v>
      </c>
      <c r="D194" s="266" t="str">
        <f>INDEX(DEAPEntries!$B$13:$D$20,MATCH($A194,DEAPEntries!$A$13:$A$20,0),MATCH(D$188,DEAPEntries!$B$13:$D$13,0))</f>
        <v>No</v>
      </c>
      <c r="E194" s="267" t="str">
        <f t="shared" si="1"/>
        <v>No</v>
      </c>
      <c r="F194" s="245"/>
      <c r="G194" s="243"/>
      <c r="H194" s="265" t="s">
        <v>136</v>
      </c>
      <c r="I194" s="262" t="b">
        <f>IF(OR(B194="Yes",C194="Yes",D194="Yes"),TRUE,FALSE)</f>
        <v>1</v>
      </c>
      <c r="J194" s="250"/>
      <c r="K194" s="250"/>
      <c r="L194" s="250"/>
    </row>
    <row r="195" spans="1:29">
      <c r="A195" s="246" t="s">
        <v>137</v>
      </c>
      <c r="B195" s="266">
        <f>INDEX(DEAPEntries!$B$13:$D$20,MATCH($A195,DEAPEntries!$A$13:$A$20,0),MATCH(B$188,DEAPEntries!$B$13:$D$13,0))</f>
        <v>0</v>
      </c>
      <c r="C195" s="266">
        <f>INDEX(DEAPEntries!$B$13:$D$20,MATCH($A195,DEAPEntries!$A$13:$A$20,0),MATCH(C$188,DEAPEntries!$B$13:$D$13,0))</f>
        <v>0</v>
      </c>
      <c r="D195" s="266">
        <f>INDEX(DEAPEntries!$B$13:$D$20,MATCH($A195,DEAPEntries!$A$13:$A$20,0),MATCH(D$188,DEAPEntries!$B$13:$D$13,0))</f>
        <v>0</v>
      </c>
      <c r="E195" s="267">
        <f t="shared" si="1"/>
        <v>0</v>
      </c>
      <c r="F195" s="245"/>
      <c r="G195" s="247"/>
      <c r="H195" s="247"/>
      <c r="I195" s="255"/>
      <c r="J195" s="250"/>
      <c r="K195" s="248"/>
      <c r="L195" s="250"/>
    </row>
    <row r="197" spans="1:29" s="80" customFormat="1" ht="12.75">
      <c r="A197" s="283" t="s">
        <v>429</v>
      </c>
      <c r="B197" s="284" t="s">
        <v>430</v>
      </c>
      <c r="C197" s="284" t="s">
        <v>431</v>
      </c>
      <c r="D197" s="284" t="s">
        <v>432</v>
      </c>
      <c r="E197" s="275"/>
      <c r="F197" s="275"/>
      <c r="G197" s="275"/>
      <c r="H197" s="275"/>
      <c r="I197" s="274"/>
      <c r="J197" s="82"/>
      <c r="L197" s="82"/>
      <c r="AC197" s="82"/>
    </row>
    <row r="198" spans="1:29" s="80" customFormat="1" ht="60" customHeight="1">
      <c r="A198" s="276" t="s">
        <v>433</v>
      </c>
      <c r="B198" s="276" t="str">
        <f>RIGHT(B197)</f>
        <v>1</v>
      </c>
      <c r="C198" s="276" t="str">
        <f>RIGHT(C197)</f>
        <v>2</v>
      </c>
      <c r="D198" s="276" t="str">
        <f>RIGHT(D197)</f>
        <v>3</v>
      </c>
      <c r="E198" s="276" t="s">
        <v>434</v>
      </c>
      <c r="F198" s="277" t="s">
        <v>177</v>
      </c>
      <c r="G198" s="277" t="s">
        <v>178</v>
      </c>
      <c r="H198" s="277" t="s">
        <v>435</v>
      </c>
      <c r="I198" s="82"/>
      <c r="J198" s="82"/>
      <c r="L198" s="82"/>
      <c r="AC198" s="82"/>
    </row>
    <row r="199" spans="1:29" s="80" customFormat="1">
      <c r="A199" s="282" t="str">
        <f>HeatingCalc_1!A60</f>
        <v>Space Heating Energy Requirement</v>
      </c>
      <c r="B199" s="278" t="e">
        <f>HeatingCalc_1!H60</f>
        <v>#DIV/0!</v>
      </c>
      <c r="C199" s="279" cm="1">
        <f t="array" aca="1" ref="C199" ca="1">INDIRECT($F199&amp;C$198&amp;"!"&amp;$G199)</f>
        <v>0</v>
      </c>
      <c r="D199" s="279" cm="1">
        <f t="array" aca="1" ref="D199" ca="1">INDIRECT($F199&amp;D$198&amp;"!"&amp;$G199)</f>
        <v>0</v>
      </c>
      <c r="E199" s="297">
        <f t="shared" ref="E199:E207" ca="1" si="3">VLOOKUP(A199,A199:D199,$G$1+1,FALSE)</f>
        <v>0</v>
      </c>
      <c r="F199" s="280" t="str">
        <f ca="1">LEFT(H199,FIND("1",H199)-1)</f>
        <v>HeatingCalc_</v>
      </c>
      <c r="G199" s="280" t="str">
        <f ca="1">RIGHT(H199,LEN(H199)-FIND("!",H199))</f>
        <v>H60</v>
      </c>
      <c r="H199" s="281" t="str">
        <f ca="1">SUBSTITUTE( _xlfn.FORMULATEXT(B199),"=","")</f>
        <v>HeatingCalc_1!H60</v>
      </c>
      <c r="L199" s="82"/>
      <c r="AC199" s="82"/>
    </row>
    <row r="200" spans="1:29" s="80" customFormat="1">
      <c r="A200" s="282" t="str">
        <f>HeatingCalc_1!A69</f>
        <v>Total Delivered Energy Required (this will be gas or elec)</v>
      </c>
      <c r="B200" s="278" t="e">
        <f>HeatingCalc_1!H69</f>
        <v>#VALUE!</v>
      </c>
      <c r="C200" s="279" t="e" cm="1">
        <f t="array" aca="1" ref="C200" ca="1">INDIRECT($F200&amp;C$198&amp;"!"&amp;$G200)</f>
        <v>#VALUE!</v>
      </c>
      <c r="D200" s="279" t="e" cm="1">
        <f t="array" aca="1" ref="D200" ca="1">INDIRECT($F200&amp;D$198&amp;"!"&amp;$G200)</f>
        <v>#VALUE!</v>
      </c>
      <c r="E200" s="297" t="e">
        <f t="shared" ca="1" si="3"/>
        <v>#VALUE!</v>
      </c>
      <c r="F200" s="280" t="str">
        <f ca="1">LEFT(H200,FIND("1",H200)-1)</f>
        <v>HeatingCalc_</v>
      </c>
      <c r="G200" s="280" t="str">
        <f ca="1">RIGHT(H200,LEN(H200)-FIND("!",H200))</f>
        <v>H69</v>
      </c>
      <c r="H200" s="281" t="str">
        <f ca="1">SUBSTITUTE( _xlfn.FORMULATEXT(B200),"=","")</f>
        <v>HeatingCalc_1!H69</v>
      </c>
      <c r="L200" s="82"/>
      <c r="AC200" s="82"/>
    </row>
    <row r="201" spans="1:29" s="80" customFormat="1">
      <c r="A201" s="282" t="str">
        <f>HeatingCalc_1!A71</f>
        <v>SPF - Heat Pump &amp; Back up Heater</v>
      </c>
      <c r="B201" s="278" t="e">
        <f>HeatingCalc_1!H71</f>
        <v>#DIV/0!</v>
      </c>
      <c r="C201" s="279" t="e" cm="1">
        <f t="array" aca="1" ref="C201" ca="1">INDIRECT($F201&amp;C$198&amp;"!"&amp;$G201)</f>
        <v>#VALUE!</v>
      </c>
      <c r="D201" s="279" t="e" cm="1">
        <f t="array" aca="1" ref="D201" ca="1">INDIRECT($F201&amp;D$198&amp;"!"&amp;$G201)</f>
        <v>#VALUE!</v>
      </c>
      <c r="E201" s="297" t="e">
        <f t="shared" ca="1" si="3"/>
        <v>#VALUE!</v>
      </c>
      <c r="F201" s="280" t="str">
        <f t="shared" ref="F201:F207" ca="1" si="4">LEFT(H201,FIND("1",H201)-1)</f>
        <v>HeatingCalc_</v>
      </c>
      <c r="G201" s="280" t="str">
        <f t="shared" ref="G201:G207" ca="1" si="5">RIGHT(H201,LEN(H201)-FIND("!",H201))</f>
        <v>H71</v>
      </c>
      <c r="H201" s="281" t="str">
        <f t="shared" ref="H201:H207" ca="1" si="6">SUBSTITUTE( _xlfn.FORMULATEXT(B201),"=","")</f>
        <v>HeatingCalc_1!H71</v>
      </c>
      <c r="L201" s="82"/>
      <c r="AC201" s="82"/>
    </row>
    <row r="202" spans="1:29" s="80" customFormat="1">
      <c r="A202" s="282" t="str">
        <f>HeatingCalc_1!A73</f>
        <v>Renewable Contribution calculated in DEAP</v>
      </c>
      <c r="B202" s="278" t="e">
        <f>HeatingCalc_1!H73</f>
        <v>#DIV/0!</v>
      </c>
      <c r="C202" s="279" t="e" cm="1">
        <f t="array" aca="1" ref="C202" ca="1">INDIRECT($F202&amp;C$198&amp;"!"&amp;$G202)</f>
        <v>#VALUE!</v>
      </c>
      <c r="D202" s="279" t="e" cm="1">
        <f t="array" aca="1" ref="D202" ca="1">INDIRECT($F202&amp;D$198&amp;"!"&amp;$G202)</f>
        <v>#VALUE!</v>
      </c>
      <c r="E202" s="297" t="e">
        <f t="shared" ca="1" si="3"/>
        <v>#VALUE!</v>
      </c>
      <c r="F202" s="280" t="str">
        <f t="shared" ca="1" si="4"/>
        <v>HeatingCalc_</v>
      </c>
      <c r="G202" s="280" t="str">
        <f t="shared" ca="1" si="5"/>
        <v>H73</v>
      </c>
      <c r="H202" s="281" t="str">
        <f t="shared" ca="1" si="6"/>
        <v>HeatingCalc_1!H73</v>
      </c>
      <c r="L202" s="82"/>
      <c r="AC202" s="82"/>
    </row>
    <row r="203" spans="1:29" s="80" customFormat="1">
      <c r="A203" s="282" t="str">
        <f>HeatingCalc_1!A75</f>
        <v>Space Heating Provided by Heat Pump</v>
      </c>
      <c r="B203" s="278" t="e">
        <f>HeatingCalc_1!H75</f>
        <v>#DIV/0!</v>
      </c>
      <c r="C203" s="279" t="e" cm="1">
        <f t="array" aca="1" ref="C203" ca="1">INDIRECT($F203&amp;C$198&amp;"!"&amp;$G203)</f>
        <v>#VALUE!</v>
      </c>
      <c r="D203" s="279" t="e" cm="1">
        <f t="array" aca="1" ref="D203" ca="1">INDIRECT($F203&amp;D$198&amp;"!"&amp;$G203)</f>
        <v>#VALUE!</v>
      </c>
      <c r="E203" s="297" t="e">
        <f t="shared" ca="1" si="3"/>
        <v>#VALUE!</v>
      </c>
      <c r="F203" s="280" t="str">
        <f t="shared" ca="1" si="4"/>
        <v>HeatingCalc_</v>
      </c>
      <c r="G203" s="280" t="str">
        <f t="shared" ca="1" si="5"/>
        <v>H75</v>
      </c>
      <c r="H203" s="281" t="str">
        <f t="shared" ca="1" si="6"/>
        <v>HeatingCalc_1!H75</v>
      </c>
      <c r="I203" s="81"/>
      <c r="L203" s="82"/>
      <c r="AC203" s="82"/>
    </row>
    <row r="204" spans="1:29" s="80" customFormat="1">
      <c r="A204" s="282" t="str">
        <f>HeatingCalc_1!A77</f>
        <v>SPF - Heat Pump only</v>
      </c>
      <c r="B204" s="278" t="e">
        <f>HeatingCalc_1!H77</f>
        <v>#DIV/0!</v>
      </c>
      <c r="C204" s="279" t="e" cm="1">
        <f t="array" aca="1" ref="C204" ca="1">INDIRECT($F204&amp;C$198&amp;"!"&amp;$G204)</f>
        <v>#VALUE!</v>
      </c>
      <c r="D204" s="279" t="e" cm="1">
        <f t="array" aca="1" ref="D204" ca="1">INDIRECT($F204&amp;D$198&amp;"!"&amp;$G204)</f>
        <v>#VALUE!</v>
      </c>
      <c r="E204" s="297" t="e">
        <f t="shared" ca="1" si="3"/>
        <v>#VALUE!</v>
      </c>
      <c r="F204" s="280" t="str">
        <f t="shared" ca="1" si="4"/>
        <v>HeatingCalc_</v>
      </c>
      <c r="G204" s="280" t="str">
        <f t="shared" ca="1" si="5"/>
        <v>H77</v>
      </c>
      <c r="H204" s="281" t="str">
        <f t="shared" ca="1" si="6"/>
        <v>HeatingCalc_1!H77</v>
      </c>
      <c r="L204" s="82"/>
      <c r="AC204" s="82"/>
    </row>
    <row r="205" spans="1:29">
      <c r="A205" s="282" t="str">
        <f>HeatingCalc_1!A79</f>
        <v>Renewable Contribution provided by Heat Pump</v>
      </c>
      <c r="B205" s="278" t="e">
        <f>HeatingCalc_1!H79</f>
        <v>#DIV/0!</v>
      </c>
      <c r="C205" s="279" t="e" cm="1">
        <f t="array" aca="1" ref="C205" ca="1">INDIRECT($F205&amp;C$198&amp;"!"&amp;$G205)</f>
        <v>#VALUE!</v>
      </c>
      <c r="D205" s="279" t="e" cm="1">
        <f t="array" aca="1" ref="D205" ca="1">INDIRECT($F205&amp;D$198&amp;"!"&amp;$G205)</f>
        <v>#VALUE!</v>
      </c>
      <c r="E205" s="297" t="e">
        <f t="shared" ca="1" si="3"/>
        <v>#VALUE!</v>
      </c>
      <c r="F205" s="280" t="str">
        <f t="shared" ca="1" si="4"/>
        <v>HeatingCalc_</v>
      </c>
      <c r="G205" s="280" t="str">
        <f t="shared" ca="1" si="5"/>
        <v>H79</v>
      </c>
      <c r="H205" s="281" t="str">
        <f t="shared" ca="1" si="6"/>
        <v>HeatingCalc_1!H79</v>
      </c>
    </row>
    <row r="206" spans="1:29">
      <c r="A206" s="282" t="str">
        <f>HeatingCalc_1!A82</f>
        <v>Renewable Contribution from Exhaust Air Heat Pump</v>
      </c>
      <c r="B206" s="278" t="e">
        <f>HeatingCalc_1!H82</f>
        <v>#DIV/0!</v>
      </c>
      <c r="C206" s="279" t="e" cm="1">
        <f t="array" aca="1" ref="C206" ca="1">INDIRECT($F206&amp;C$198&amp;"!"&amp;$G206)</f>
        <v>#VALUE!</v>
      </c>
      <c r="D206" s="279" t="e" cm="1">
        <f t="array" aca="1" ref="D206" ca="1">INDIRECT($F206&amp;D$198&amp;"!"&amp;$G206)</f>
        <v>#VALUE!</v>
      </c>
      <c r="E206" s="297" t="e">
        <f t="shared" ca="1" si="3"/>
        <v>#VALUE!</v>
      </c>
      <c r="F206" s="280" t="str">
        <f t="shared" ca="1" si="4"/>
        <v>HeatingCalc_</v>
      </c>
      <c r="G206" s="280" t="str">
        <f t="shared" ca="1" si="5"/>
        <v>H82</v>
      </c>
      <c r="H206" s="281" t="str">
        <f t="shared" ca="1" si="6"/>
        <v>HeatingCalc_1!H82</v>
      </c>
    </row>
    <row r="207" spans="1:29">
      <c r="A207" s="282" t="str">
        <f>HeatingCalc_1!I85</f>
        <v>% renewables</v>
      </c>
      <c r="B207" s="285">
        <f>HeatingCalc_1!H85</f>
        <v>1</v>
      </c>
      <c r="C207" s="279" cm="1">
        <f t="array" aca="1" ref="C207" ca="1">INDIRECT($F207&amp;C$198&amp;"!"&amp;$G207)</f>
        <v>1</v>
      </c>
      <c r="D207" s="279" cm="1">
        <f t="array" aca="1" ref="D207" ca="1">INDIRECT($F207&amp;D$198&amp;"!"&amp;$G207)</f>
        <v>1</v>
      </c>
      <c r="E207" s="298">
        <f t="shared" ca="1" si="3"/>
        <v>1</v>
      </c>
      <c r="F207" s="280" t="str">
        <f t="shared" ca="1" si="4"/>
        <v>HeatingCalc_</v>
      </c>
      <c r="G207" s="280" t="str">
        <f t="shared" ca="1" si="5"/>
        <v>H85</v>
      </c>
      <c r="H207" s="281" t="str">
        <f t="shared" ca="1" si="6"/>
        <v>HeatingCalc_1!H85</v>
      </c>
    </row>
    <row r="208" spans="1:29" customFormat="1" ht="12.75">
      <c r="A208" s="276" t="s">
        <v>436</v>
      </c>
    </row>
    <row r="209" spans="1:8">
      <c r="A209" s="282" t="str">
        <f>DHWCalc_1!A12</f>
        <v>Efficiency for DEAP</v>
      </c>
      <c r="B209" s="285">
        <f>DHWCalc_1!B12</f>
        <v>0</v>
      </c>
      <c r="C209" s="279" cm="1">
        <f t="array" aca="1" ref="C209" ca="1">INDIRECT($F209&amp;C$198&amp;"!"&amp;$G209)</f>
        <v>0</v>
      </c>
      <c r="D209" s="279" cm="1">
        <f t="array" aca="1" ref="D209" ca="1">INDIRECT($F209&amp;D$198&amp;"!"&amp;$G209)</f>
        <v>0</v>
      </c>
      <c r="E209" s="298">
        <f ca="1">VLOOKUP(A209,A209:D209,$G$1+1,FALSE)</f>
        <v>0</v>
      </c>
      <c r="F209" s="280" t="str">
        <f t="shared" ref="F209:F222" ca="1" si="7">LEFT(H209,FIND("1",H209)-1)</f>
        <v>DHWCalc_</v>
      </c>
      <c r="G209" s="280" t="str">
        <f t="shared" ref="G209:G222" ca="1" si="8">RIGHT(H209,LEN(H209)-FIND("!",H209))</f>
        <v>B12</v>
      </c>
      <c r="H209" s="281" t="str">
        <f t="shared" ref="H209:H222" ca="1" si="9">SUBSTITUTE( _xlfn.FORMULATEXT(B209),"=","")</f>
        <v>DHWCalc_1!B12</v>
      </c>
    </row>
    <row r="210" spans="1:8" ht="31.5">
      <c r="A210" s="282" t="str">
        <f>DHWCalc_1!A17</f>
        <v>Fraction of Demand met by backup energy to meet temperature shortfall</v>
      </c>
      <c r="B210" s="286" t="e">
        <f>DHWCalc_1!B17</f>
        <v>#VALUE!</v>
      </c>
      <c r="C210" s="279" cm="1">
        <f t="array" aca="1" ref="C210" ca="1">INDIRECT($F210&amp;C$198&amp;"!"&amp;$G210)</f>
        <v>1.1818181818181819</v>
      </c>
      <c r="D210" s="279" cm="1">
        <f t="array" aca="1" ref="D210" ca="1">INDIRECT($F210&amp;D$198&amp;"!"&amp;$G210)</f>
        <v>1.1818181818181819</v>
      </c>
      <c r="E210" s="344">
        <f ca="1">VLOOKUP(A210,A210:D210,$G$1+1,FALSE)</f>
        <v>1.1818181818181819</v>
      </c>
      <c r="F210" s="280" t="str">
        <f t="shared" ca="1" si="7"/>
        <v>DHWCalc_</v>
      </c>
      <c r="G210" s="280" t="str">
        <f t="shared" ca="1" si="8"/>
        <v>B17</v>
      </c>
      <c r="H210" s="281" t="str">
        <f t="shared" ca="1" si="9"/>
        <v>DHWCalc_1!B17</v>
      </c>
    </row>
    <row r="211" spans="1:8">
      <c r="A211" s="282" t="str">
        <f>DHWCalc_1!A19</f>
        <v>DHW Demand for Dwelling</v>
      </c>
      <c r="B211" s="346" t="e">
        <f>DHWCalc_1!B19</f>
        <v>#DIV/0!</v>
      </c>
      <c r="C211" s="279" cm="1">
        <f t="array" aca="1" ref="C211" ca="1">INDIRECT($F211&amp;C$198&amp;"!"&amp;$G211)</f>
        <v>0</v>
      </c>
      <c r="D211" s="279" cm="1">
        <f t="array" aca="1" ref="D211" ca="1">INDIRECT($F211&amp;D$198&amp;"!"&amp;$G211)</f>
        <v>0</v>
      </c>
      <c r="E211" s="349">
        <f t="shared" ref="E211:E222" ca="1" si="10">VLOOKUP(A211,A211:D211,$G$1+1,FALSE)</f>
        <v>0</v>
      </c>
      <c r="F211" s="280" t="str">
        <f t="shared" ca="1" si="7"/>
        <v>DHWCalc_</v>
      </c>
      <c r="G211" s="280" t="str">
        <f t="shared" ca="1" si="8"/>
        <v>B19</v>
      </c>
      <c r="H211" s="281" t="str">
        <f t="shared" ca="1" si="9"/>
        <v>DHWCalc_1!B19</v>
      </c>
    </row>
    <row r="212" spans="1:8">
      <c r="A212" s="282" t="str">
        <f>DHWCalc_1!A28</f>
        <v>Total Fuel Required for Water Heating</v>
      </c>
      <c r="B212" s="346" t="e">
        <f>DHWCalc_1!B28</f>
        <v>#DIV/0!</v>
      </c>
      <c r="C212" s="279" t="e" cm="1">
        <f t="array" aca="1" ref="C212" ca="1">INDIRECT($F212&amp;C$198&amp;"!"&amp;$G212)</f>
        <v>#DIV/0!</v>
      </c>
      <c r="D212" s="279" t="e" cm="1">
        <f t="array" aca="1" ref="D212" ca="1">INDIRECT($F212&amp;D$198&amp;"!"&amp;$G212)</f>
        <v>#DIV/0!</v>
      </c>
      <c r="E212" s="349" t="e">
        <f t="shared" ca="1" si="10"/>
        <v>#DIV/0!</v>
      </c>
      <c r="F212" s="280" t="str">
        <f t="shared" ca="1" si="7"/>
        <v>DHWCalc_</v>
      </c>
      <c r="G212" s="280" t="str">
        <f t="shared" ca="1" si="8"/>
        <v>B28</v>
      </c>
      <c r="H212" s="281" t="str">
        <f t="shared" ca="1" si="9"/>
        <v>DHWCalc_1!B28</v>
      </c>
    </row>
    <row r="213" spans="1:8">
      <c r="A213" s="282" t="str">
        <f>DHWCalc_1!A30</f>
        <v>SPF</v>
      </c>
      <c r="B213" s="285" t="e">
        <f>DHWCalc_1!B30</f>
        <v>#DIV/0!</v>
      </c>
      <c r="C213" s="279" t="e" cm="1">
        <f t="array" aca="1" ref="C213" ca="1">INDIRECT($F213&amp;C$198&amp;"!"&amp;$G213)</f>
        <v>#DIV/0!</v>
      </c>
      <c r="D213" s="279" t="e" cm="1">
        <f t="array" aca="1" ref="D213" ca="1">INDIRECT($F213&amp;D$198&amp;"!"&amp;$G213)</f>
        <v>#DIV/0!</v>
      </c>
      <c r="E213" s="298" t="e">
        <f t="shared" ca="1" si="10"/>
        <v>#DIV/0!</v>
      </c>
      <c r="F213" s="280" t="str">
        <f t="shared" ca="1" si="7"/>
        <v>DHWCalc_</v>
      </c>
      <c r="G213" s="280" t="str">
        <f t="shared" ca="1" si="8"/>
        <v>B30</v>
      </c>
      <c r="H213" s="281" t="str">
        <f t="shared" ca="1" si="9"/>
        <v>DHWCalc_1!B30</v>
      </c>
    </row>
    <row r="214" spans="1:8">
      <c r="A214" s="282" t="str">
        <f>DHWCalc_1!A32</f>
        <v>Renewable Contribution calculated in DEAP</v>
      </c>
      <c r="B214" s="347" t="e">
        <f>DHWCalc_1!B32</f>
        <v>#DIV/0!</v>
      </c>
      <c r="C214" s="279" t="e" cm="1">
        <f t="array" aca="1" ref="C214" ca="1">INDIRECT($F214&amp;C$198&amp;"!"&amp;$G214)</f>
        <v>#DIV/0!</v>
      </c>
      <c r="D214" s="279" t="e" cm="1">
        <f t="array" aca="1" ref="D214" ca="1">INDIRECT($F214&amp;D$198&amp;"!"&amp;$G214)</f>
        <v>#DIV/0!</v>
      </c>
      <c r="E214" s="348" t="e">
        <f t="shared" ca="1" si="10"/>
        <v>#DIV/0!</v>
      </c>
      <c r="F214" s="280" t="str">
        <f t="shared" ca="1" si="7"/>
        <v>DHWCalc_</v>
      </c>
      <c r="G214" s="280" t="str">
        <f t="shared" ca="1" si="8"/>
        <v>B32</v>
      </c>
      <c r="H214" s="281" t="str">
        <f t="shared" ca="1" si="9"/>
        <v>DHWCalc_1!B32</v>
      </c>
    </row>
    <row r="215" spans="1:8">
      <c r="A215" s="282" t="str">
        <f>DHWCalc_1!A34</f>
        <v>Hot Water Provided by Heat Pump</v>
      </c>
      <c r="B215" s="347" t="e">
        <f>DHWCalc_1!B34</f>
        <v>#DIV/0!</v>
      </c>
      <c r="C215" s="279" t="e" cm="1">
        <f t="array" aca="1" ref="C215" ca="1">INDIRECT($F215&amp;C$198&amp;"!"&amp;$G215)</f>
        <v>#DIV/0!</v>
      </c>
      <c r="D215" s="279" t="e" cm="1">
        <f t="array" aca="1" ref="D215" ca="1">INDIRECT($F215&amp;D$198&amp;"!"&amp;$G215)</f>
        <v>#DIV/0!</v>
      </c>
      <c r="E215" s="348" t="e">
        <f t="shared" ca="1" si="10"/>
        <v>#DIV/0!</v>
      </c>
      <c r="F215" s="280" t="str">
        <f t="shared" ca="1" si="7"/>
        <v>DHWCalc_</v>
      </c>
      <c r="G215" s="280" t="str">
        <f t="shared" ca="1" si="8"/>
        <v>B34</v>
      </c>
      <c r="H215" s="281" t="str">
        <f t="shared" ca="1" si="9"/>
        <v>DHWCalc_1!B34</v>
      </c>
    </row>
    <row r="216" spans="1:8">
      <c r="A216" s="282" t="str">
        <f>DHWCalc_1!A36</f>
        <v>% Renewable</v>
      </c>
      <c r="B216" s="345">
        <f>DHWCalc_1!B36</f>
        <v>1</v>
      </c>
      <c r="C216" s="279" cm="1">
        <f t="array" aca="1" ref="C216" ca="1">INDIRECT($F216&amp;C$198&amp;"!"&amp;$G216)</f>
        <v>1</v>
      </c>
      <c r="D216" s="279" cm="1">
        <f t="array" aca="1" ref="D216" ca="1">INDIRECT($F216&amp;D$198&amp;"!"&amp;$G216)</f>
        <v>1</v>
      </c>
      <c r="E216" s="298">
        <f t="shared" ca="1" si="10"/>
        <v>1</v>
      </c>
      <c r="F216" s="280" t="str">
        <f t="shared" ca="1" si="7"/>
        <v>DHWCalc_</v>
      </c>
      <c r="G216" s="280" t="str">
        <f t="shared" ca="1" si="8"/>
        <v>B36</v>
      </c>
      <c r="H216" s="281" t="str">
        <f t="shared" ca="1" si="9"/>
        <v>DHWCalc_1!B36</v>
      </c>
    </row>
    <row r="217" spans="1:8">
      <c r="A217" s="282" t="str">
        <f>DHWCalc_1!A57</f>
        <v>SPF</v>
      </c>
      <c r="B217" s="345" t="e">
        <f>DHWCalc_1!B57</f>
        <v>#DIV/0!</v>
      </c>
      <c r="C217" s="279" t="e" cm="1">
        <f t="array" aca="1" ref="C217" ca="1">INDIRECT($F217&amp;C$198&amp;"!"&amp;$G217)</f>
        <v>#DIV/0!</v>
      </c>
      <c r="D217" s="279" t="e" cm="1">
        <f t="array" aca="1" ref="D217" ca="1">INDIRECT($F217&amp;D$198&amp;"!"&amp;$G217)</f>
        <v>#DIV/0!</v>
      </c>
      <c r="E217" s="298" t="e">
        <f t="shared" ca="1" si="10"/>
        <v>#DIV/0!</v>
      </c>
      <c r="F217" s="280" t="str">
        <f t="shared" ca="1" si="7"/>
        <v>DHWCalc_</v>
      </c>
      <c r="G217" s="280" t="str">
        <f t="shared" ca="1" si="8"/>
        <v>B57</v>
      </c>
      <c r="H217" s="281" t="str">
        <f t="shared" ca="1" si="9"/>
        <v>DHWCalc_1!B57</v>
      </c>
    </row>
    <row r="218" spans="1:8">
      <c r="A218" s="282" t="str">
        <f>DHWCalc_1!A75</f>
        <v>SPF</v>
      </c>
      <c r="B218" s="345">
        <f>DHWCalc_1!B75</f>
        <v>3.33</v>
      </c>
      <c r="C218" s="279" cm="1">
        <f t="array" aca="1" ref="C218" ca="1">INDIRECT($F218&amp;C$198&amp;"!"&amp;$G218)</f>
        <v>3.33</v>
      </c>
      <c r="D218" s="279" cm="1">
        <f t="array" aca="1" ref="D218" ca="1">INDIRECT($F218&amp;D$198&amp;"!"&amp;$G218)</f>
        <v>3.33</v>
      </c>
      <c r="E218" s="298">
        <f t="shared" ca="1" si="10"/>
        <v>3.33</v>
      </c>
      <c r="F218" s="280" t="str">
        <f t="shared" ca="1" si="7"/>
        <v>DHWCalc_</v>
      </c>
      <c r="G218" s="280" t="str">
        <f t="shared" ca="1" si="8"/>
        <v>B75</v>
      </c>
      <c r="H218" s="281" t="str">
        <f t="shared" ca="1" si="9"/>
        <v>DHWCalc_1!B75</v>
      </c>
    </row>
    <row r="219" spans="1:8">
      <c r="A219" s="282" t="str">
        <f>DHWCalc_1!U2</f>
        <v>Error - Test</v>
      </c>
      <c r="B219" s="347">
        <f>DHWCalc_1!U14</f>
        <v>0</v>
      </c>
      <c r="C219" s="279" cm="1">
        <f t="array" aca="1" ref="C219" ca="1">INDIRECT($F219&amp;C$198&amp;"!"&amp;$G219)</f>
        <v>0</v>
      </c>
      <c r="D219" s="279" cm="1">
        <f t="array" aca="1" ref="D219" ca="1">INDIRECT($F219&amp;D$198&amp;"!"&amp;$G219)</f>
        <v>0</v>
      </c>
      <c r="E219" s="348">
        <f t="shared" ca="1" si="10"/>
        <v>0</v>
      </c>
      <c r="F219" s="280" t="str">
        <f t="shared" ca="1" si="7"/>
        <v>DHWCalc_</v>
      </c>
      <c r="G219" s="280" t="str">
        <f t="shared" ca="1" si="8"/>
        <v>U14</v>
      </c>
      <c r="H219" s="281" t="str">
        <f t="shared" ca="1" si="9"/>
        <v>DHWCalc_1!U14</v>
      </c>
    </row>
    <row r="220" spans="1:8">
      <c r="A220" s="282" t="str">
        <f>DHWCalc_1!V2</f>
        <v>Error - Dwelling</v>
      </c>
      <c r="B220" s="347">
        <f>DHWCalc_1!V14</f>
        <v>0</v>
      </c>
      <c r="C220" s="279" cm="1">
        <f t="array" aca="1" ref="C220" ca="1">INDIRECT($F220&amp;C$198&amp;"!"&amp;$G220)</f>
        <v>1</v>
      </c>
      <c r="D220" s="279" cm="1">
        <f t="array" aca="1" ref="D220" ca="1">INDIRECT($F220&amp;D$198&amp;"!"&amp;$G220)</f>
        <v>1</v>
      </c>
      <c r="E220" s="348">
        <f t="shared" ca="1" si="10"/>
        <v>1</v>
      </c>
      <c r="F220" s="280" t="str">
        <f t="shared" ca="1" si="7"/>
        <v>DHWCalc_</v>
      </c>
      <c r="G220" s="280" t="str">
        <f t="shared" ca="1" si="8"/>
        <v>V14</v>
      </c>
      <c r="H220" s="281" t="str">
        <f t="shared" ca="1" si="9"/>
        <v>DHWCalc_1!V14</v>
      </c>
    </row>
    <row r="221" spans="1:8" ht="110.1" customHeight="1">
      <c r="A221" s="282" t="s">
        <v>437</v>
      </c>
      <c r="B221" s="350" t="str">
        <f>DHWCalc_1!U16</f>
        <v>WARNING: As the test storage Volume does not meet requirements in Ecodesign Directive, the assessor must contact the manufacturer to advise that test volume is not appropriate for the declared load profile and request revised test results.</v>
      </c>
      <c r="C221" s="279" t="str" cm="1">
        <f t="array" aca="1" ref="C221" ca="1">INDIRECT($F221&amp;C$198&amp;"!"&amp;$G221)</f>
        <v>WARNING: As the test storage Volume does not meet requirements in Ecodesign Directive, the assessor must contact the manufacturer to advise that test volume is not appropriate for the declared load profile and request revised test results.</v>
      </c>
      <c r="D221" s="279" t="str" cm="1">
        <f t="array" aca="1" ref="D221" ca="1">INDIRECT($F221&amp;D$198&amp;"!"&amp;$G221)</f>
        <v>WARNING: As the test storage Volume does not meet requirements in Ecodesign Directive, the assessor must contact the manufacturer to advise that test volume is not appropriate for the declared load profile and request revised test results.</v>
      </c>
      <c r="E221" s="351" t="str">
        <f t="shared" ca="1" si="10"/>
        <v>WARNING: As the test storage Volume does not meet requirements in Ecodesign Directive, the assessor must contact the manufacturer to advise that test volume is not appropriate for the declared load profile and request revised test results.</v>
      </c>
      <c r="F221" s="280" t="str">
        <f t="shared" ca="1" si="7"/>
        <v>DHWCalc_</v>
      </c>
      <c r="G221" s="280" t="str">
        <f t="shared" ca="1" si="8"/>
        <v>U16</v>
      </c>
      <c r="H221" s="281" t="str">
        <f t="shared" ca="1" si="9"/>
        <v>DHWCalc_1!U16</v>
      </c>
    </row>
    <row r="222" spans="1:8" ht="154.35" customHeight="1">
      <c r="A222" s="282" t="s">
        <v>438</v>
      </c>
      <c r="B222" s="350" t="str">
        <f>DHWCalc_1!V16</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C222" s="279" t="str" cm="1">
        <f t="array" aca="1" ref="C222" ca="1">INDIRECT($F222&amp;C$198&amp;"!"&amp;$G222)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D222" s="279" t="str" cm="1">
        <f t="array" aca="1" ref="D222" ca="1">INDIRECT($F222&amp;D$198&amp;"!"&amp;$G222)</f>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E222" s="351" t="str">
        <f t="shared" ca="1" si="10"/>
        <v>WARNING: As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F222" s="280" t="str">
        <f t="shared" ca="1" si="7"/>
        <v>DHWCalc_</v>
      </c>
      <c r="G222" s="280" t="str">
        <f t="shared" ca="1" si="8"/>
        <v>V16</v>
      </c>
      <c r="H222" s="281" t="str">
        <f t="shared" ca="1" si="9"/>
        <v>DHWCalc_1!V16</v>
      </c>
    </row>
    <row r="223" spans="1:8">
      <c r="A223" s="276" t="s">
        <v>439</v>
      </c>
    </row>
    <row r="224" spans="1:8" ht="30">
      <c r="A224" s="282" t="s">
        <v>440</v>
      </c>
      <c r="B224" s="286" t="str">
        <f>SpaceStandardsID_1!A31</f>
        <v>Valid space heat pump type selected.</v>
      </c>
      <c r="C224" s="279" t="str" cm="1">
        <f t="array" aca="1" ref="C224" ca="1">INDIRECT($F224&amp;C$198&amp;"!"&amp;$G224)</f>
        <v>Valid space heat pump type selected.</v>
      </c>
      <c r="D224" s="279" t="str" cm="1">
        <f t="array" aca="1" ref="D224" ca="1">INDIRECT($F224&amp;D$198&amp;"!"&amp;$G224)</f>
        <v>Valid space heat pump type selected.</v>
      </c>
      <c r="E224" s="352" t="str">
        <f ca="1">VLOOKUP(A224,A224:D224,$G$1+1,FALSE)</f>
        <v>Valid space heat pump type selected.</v>
      </c>
      <c r="F224" s="332" t="str">
        <f t="shared" ref="F224:F229" ca="1" si="11">LEFT(H224,FIND("1",H224)-1)</f>
        <v>SpaceStandardsID_</v>
      </c>
      <c r="G224" s="280" t="str">
        <f t="shared" ref="G224:G229" ca="1" si="12">RIGHT(H224,LEN(H224)-FIND("!",H224))</f>
        <v>A31</v>
      </c>
      <c r="H224" s="281" t="str">
        <f t="shared" ref="H224:H229" ca="1" si="13">SUBSTITUTE( _xlfn.FORMULATEXT(B224),"=","")</f>
        <v>SpaceStandardsID_1!A31</v>
      </c>
    </row>
    <row r="225" spans="1:8" ht="28.5">
      <c r="A225" s="282" t="s">
        <v>441</v>
      </c>
      <c r="B225" s="286" t="str">
        <f>SpaceStandardsID_1!B31</f>
        <v>Air to Water</v>
      </c>
      <c r="C225" s="279" t="str" cm="1">
        <f t="array" aca="1" ref="C225" ca="1">INDIRECT($F225&amp;C$198&amp;"!"&amp;$G225)</f>
        <v>Air to Water</v>
      </c>
      <c r="D225" s="279" t="str" cm="1">
        <f t="array" aca="1" ref="D225" ca="1">INDIRECT($F225&amp;D$198&amp;"!"&amp;$G225)</f>
        <v>Air to Water</v>
      </c>
      <c r="E225" s="352" t="str">
        <f t="shared" ref="E225:E229" ca="1" si="14">VLOOKUP(A225,A225:D225,$G$1+1,FALSE)</f>
        <v>Air to Water</v>
      </c>
      <c r="F225" s="332" t="str">
        <f t="shared" ca="1" si="11"/>
        <v>SpaceStandardsID_</v>
      </c>
      <c r="G225" s="280" t="str">
        <f t="shared" ca="1" si="12"/>
        <v>B31</v>
      </c>
      <c r="H225" s="281" t="str">
        <f t="shared" ca="1" si="13"/>
        <v>SpaceStandardsID_1!B31</v>
      </c>
    </row>
    <row r="226" spans="1:8" ht="28.5">
      <c r="A226" s="282" t="s">
        <v>442</v>
      </c>
      <c r="B226" s="286" t="str">
        <f>SpaceStandardsID_1!C31</f>
        <v>Electricity</v>
      </c>
      <c r="C226" s="279" t="str" cm="1">
        <f t="array" aca="1" ref="C226" ca="1">INDIRECT($F226&amp;C$198&amp;"!"&amp;$G226)</f>
        <v>Electricity</v>
      </c>
      <c r="D226" s="279" t="str" cm="1">
        <f t="array" aca="1" ref="D226" ca="1">INDIRECT($F226&amp;D$198&amp;"!"&amp;$G226)</f>
        <v>Electricity</v>
      </c>
      <c r="E226" s="352" t="str">
        <f t="shared" ca="1" si="14"/>
        <v>Electricity</v>
      </c>
      <c r="F226" s="332" t="str">
        <f t="shared" ca="1" si="11"/>
        <v>SpaceStandardsID_</v>
      </c>
      <c r="G226" s="280" t="str">
        <f t="shared" ca="1" si="12"/>
        <v>C31</v>
      </c>
      <c r="H226" s="281" t="str">
        <f t="shared" ca="1" si="13"/>
        <v>SpaceStandardsID_1!C31</v>
      </c>
    </row>
    <row r="227" spans="1:8" ht="30">
      <c r="A227" s="282" t="s">
        <v>443</v>
      </c>
      <c r="B227" s="286" t="str">
        <f>SpaceStandardsID_1!D31</f>
        <v>Not low temperature heat pump</v>
      </c>
      <c r="C227" s="279" t="str" cm="1">
        <f t="array" aca="1" ref="C227" ca="1">INDIRECT($F227&amp;C$198&amp;"!"&amp;$G227)</f>
        <v>Not low temperature heat pump</v>
      </c>
      <c r="D227" s="279" t="str" cm="1">
        <f t="array" aca="1" ref="D227" ca="1">INDIRECT($F227&amp;D$198&amp;"!"&amp;$G227)</f>
        <v>Not low temperature heat pump</v>
      </c>
      <c r="E227" s="352" t="str">
        <f t="shared" ca="1" si="14"/>
        <v>Not low temperature heat pump</v>
      </c>
      <c r="F227" s="332" t="str">
        <f t="shared" ca="1" si="11"/>
        <v>SpaceStandardsID_</v>
      </c>
      <c r="G227" s="280" t="str">
        <f t="shared" ca="1" si="12"/>
        <v>D31</v>
      </c>
      <c r="H227" s="281" t="str">
        <f t="shared" ca="1" si="13"/>
        <v>SpaceStandardsID_1!D31</v>
      </c>
    </row>
    <row r="228" spans="1:8" ht="45">
      <c r="A228" s="282" t="s">
        <v>444</v>
      </c>
      <c r="B228" s="286" t="str">
        <f>SpaceStandardsID_1!E31</f>
        <v>Ecodesign applies and/or ecodesign data available</v>
      </c>
      <c r="C228" s="279" t="str" cm="1">
        <f t="array" aca="1" ref="C228" ca="1">INDIRECT($F228&amp;C$198&amp;"!"&amp;$G228)</f>
        <v>Ecodesign applies and/or ecodesign data available</v>
      </c>
      <c r="D228" s="279" t="str" cm="1">
        <f t="array" aca="1" ref="D228" ca="1">INDIRECT($F228&amp;D$198&amp;"!"&amp;$G228)</f>
        <v>Ecodesign applies and/or ecodesign data available</v>
      </c>
      <c r="E228" s="352" t="str">
        <f t="shared" ca="1" si="14"/>
        <v>Ecodesign applies and/or ecodesign data available</v>
      </c>
      <c r="F228" s="332" t="str">
        <f t="shared" ca="1" si="11"/>
        <v>SpaceStandardsID_</v>
      </c>
      <c r="G228" s="280" t="str">
        <f t="shared" ca="1" si="12"/>
        <v>E31</v>
      </c>
      <c r="H228" s="281" t="str">
        <f t="shared" ca="1" si="13"/>
        <v>SpaceStandardsID_1!E31</v>
      </c>
    </row>
    <row r="229" spans="1:8" ht="84.6" customHeight="1">
      <c r="A229" s="282" t="s">
        <v>445</v>
      </c>
      <c r="B229" s="286" t="str">
        <f>SpaceStandardsID_1!K31</f>
        <v xml:space="preserve">I.S. EN 14825
</v>
      </c>
      <c r="C229" s="279" t="str" cm="1">
        <f t="array" aca="1" ref="C229" ca="1">INDIRECT($F229&amp;C$198&amp;"!"&amp;$G229)</f>
        <v xml:space="preserve">I.S. EN 14825
</v>
      </c>
      <c r="D229" s="279" t="str" cm="1">
        <f t="array" aca="1" ref="D229" ca="1">INDIRECT($F229&amp;D$198&amp;"!"&amp;$G229)</f>
        <v xml:space="preserve">I.S. EN 14825
</v>
      </c>
      <c r="E229" s="352" t="str">
        <f t="shared" ca="1" si="14"/>
        <v xml:space="preserve">I.S. EN 14825
</v>
      </c>
      <c r="F229" s="332" t="str">
        <f t="shared" ca="1" si="11"/>
        <v>SpaceStandardsID_</v>
      </c>
      <c r="G229" s="280" t="str">
        <f t="shared" ca="1" si="12"/>
        <v>K31</v>
      </c>
      <c r="H229" s="281" t="str">
        <f t="shared" ca="1" si="13"/>
        <v>SpaceStandardsID_1!K31</v>
      </c>
    </row>
    <row r="230" spans="1:8">
      <c r="A230" s="276" t="s">
        <v>446</v>
      </c>
    </row>
    <row r="231" spans="1:8" ht="30">
      <c r="A231" s="282" t="s">
        <v>440</v>
      </c>
      <c r="B231" s="286" t="str">
        <f>WaterStandardsID_1!A17</f>
        <v>Valid water heat pump type selected.</v>
      </c>
      <c r="C231" s="279" t="str" cm="1">
        <f t="array" aca="1" ref="C231" ca="1">INDIRECT($F231&amp;C$198&amp;"!"&amp;$G231)</f>
        <v>Valid water heat pump type selected.</v>
      </c>
      <c r="D231" s="279" t="str" cm="1">
        <f t="array" aca="1" ref="D231" ca="1">INDIRECT($F231&amp;D$198&amp;"!"&amp;$G231)</f>
        <v>Valid water heat pump type selected.</v>
      </c>
      <c r="E231" s="352" t="str">
        <f ca="1">VLOOKUP(A231,A231:D231,$G$1+1,FALSE)</f>
        <v>Valid water heat pump type selected.</v>
      </c>
      <c r="F231" s="332" t="str">
        <f t="shared" ref="F231:F235" ca="1" si="15">LEFT(H231,FIND("1",H231)-1)</f>
        <v>WaterStandardsID_</v>
      </c>
      <c r="G231" s="280" t="str">
        <f t="shared" ref="G231:G235" ca="1" si="16">RIGHT(H231,LEN(H231)-FIND("!",H231))</f>
        <v>A17</v>
      </c>
      <c r="H231" s="281" t="str">
        <f t="shared" ref="H231:H235" ca="1" si="17">SUBSTITUTE( _xlfn.FORMULATEXT(B231),"=","")</f>
        <v>WaterStandardsID_1!A17</v>
      </c>
    </row>
    <row r="232" spans="1:8" ht="28.5">
      <c r="A232" s="282" t="s">
        <v>441</v>
      </c>
      <c r="B232" s="286" t="str">
        <f>WaterStandardsID_1!B16</f>
        <v>Air to Water</v>
      </c>
      <c r="C232" s="279" t="str" cm="1">
        <f t="array" aca="1" ref="C232" ca="1">INDIRECT($F232&amp;C$198&amp;"!"&amp;$G232)</f>
        <v>Air to Water</v>
      </c>
      <c r="D232" s="279" t="str" cm="1">
        <f t="array" aca="1" ref="D232" ca="1">INDIRECT($F232&amp;D$198&amp;"!"&amp;$G232)</f>
        <v>Air to Water</v>
      </c>
      <c r="E232" s="352" t="str">
        <f t="shared" ref="E232:E235" ca="1" si="18">VLOOKUP(A232,A232:D232,$G$1+1,FALSE)</f>
        <v>Air to Water</v>
      </c>
      <c r="F232" s="332" t="str">
        <f t="shared" ca="1" si="15"/>
        <v>WaterStandardsID_</v>
      </c>
      <c r="G232" s="280" t="str">
        <f t="shared" ca="1" si="16"/>
        <v>B16</v>
      </c>
      <c r="H232" s="281" t="str">
        <f t="shared" ca="1" si="17"/>
        <v>WaterStandardsID_1!B16</v>
      </c>
    </row>
    <row r="233" spans="1:8" ht="28.5">
      <c r="A233" s="282" t="s">
        <v>442</v>
      </c>
      <c r="B233" s="286" t="str">
        <f>WaterStandardsID_1!C16</f>
        <v>Electricity</v>
      </c>
      <c r="C233" s="279" t="str" cm="1">
        <f t="array" aca="1" ref="C233" ca="1">INDIRECT($F233&amp;C$198&amp;"!"&amp;$G233)</f>
        <v>Electricity</v>
      </c>
      <c r="D233" s="279" t="str" cm="1">
        <f t="array" aca="1" ref="D233" ca="1">INDIRECT($F233&amp;D$198&amp;"!"&amp;$G233)</f>
        <v>Electricity</v>
      </c>
      <c r="E233" s="352" t="str">
        <f t="shared" ca="1" si="18"/>
        <v>Electricity</v>
      </c>
      <c r="F233" s="332" t="str">
        <f t="shared" ca="1" si="15"/>
        <v>WaterStandardsID_</v>
      </c>
      <c r="G233" s="280" t="str">
        <f t="shared" ca="1" si="16"/>
        <v>C16</v>
      </c>
      <c r="H233" s="281" t="str">
        <f t="shared" ca="1" si="17"/>
        <v>WaterStandardsID_1!C16</v>
      </c>
    </row>
    <row r="234" spans="1:8" ht="45">
      <c r="A234" s="282" t="s">
        <v>444</v>
      </c>
      <c r="B234" s="353" t="str">
        <f>WaterStandardsID_1!D16</f>
        <v>Ecodesign applies and/or ecodesign data available</v>
      </c>
      <c r="C234" s="279" t="str" cm="1">
        <f t="array" aca="1" ref="C234" ca="1">INDIRECT($F234&amp;C$198&amp;"!"&amp;$G234)</f>
        <v>Ecodesign applies and/or ecodesign data available</v>
      </c>
      <c r="D234" s="279" t="str" cm="1">
        <f t="array" aca="1" ref="D234" ca="1">INDIRECT($F234&amp;D$198&amp;"!"&amp;$G234)</f>
        <v>Ecodesign applies and/or ecodesign data available</v>
      </c>
      <c r="E234" s="352" t="str">
        <f t="shared" ca="1" si="18"/>
        <v>Ecodesign applies and/or ecodesign data available</v>
      </c>
      <c r="F234" s="332" t="str">
        <f t="shared" ca="1" si="15"/>
        <v>WaterStandardsID_</v>
      </c>
      <c r="G234" s="280" t="str">
        <f t="shared" ca="1" si="16"/>
        <v>D16</v>
      </c>
      <c r="H234" s="281" t="str">
        <f t="shared" ca="1" si="17"/>
        <v>WaterStandardsID_1!D16</v>
      </c>
    </row>
    <row r="235" spans="1:8" ht="90.6" customHeight="1">
      <c r="A235" s="282" t="s">
        <v>445</v>
      </c>
      <c r="B235" s="286" t="str">
        <f>WaterStandardsID_1!J16</f>
        <v>I.S. EN 16147
I.S. EN 14825/14511</v>
      </c>
      <c r="C235" s="279" t="str" cm="1">
        <f t="array" aca="1" ref="C235" ca="1">INDIRECT($F235&amp;C$198&amp;"!"&amp;$G235)</f>
        <v>I.S. EN 16147
I.S. EN 14825/14511</v>
      </c>
      <c r="D235" s="279" t="str" cm="1">
        <f t="array" aca="1" ref="D235" ca="1">INDIRECT($F235&amp;D$198&amp;"!"&amp;$G235)</f>
        <v>I.S. EN 16147
I.S. EN 14825/14511</v>
      </c>
      <c r="E235" s="352" t="str">
        <f t="shared" ca="1" si="18"/>
        <v>I.S. EN 16147
I.S. EN 14825/14511</v>
      </c>
      <c r="F235" s="332" t="str">
        <f t="shared" ca="1" si="15"/>
        <v>WaterStandardsID_</v>
      </c>
      <c r="G235" s="280" t="str">
        <f t="shared" ca="1" si="16"/>
        <v>J16</v>
      </c>
      <c r="H235" s="281" t="str">
        <f t="shared" ca="1" si="17"/>
        <v>WaterStandardsID_1!J16</v>
      </c>
    </row>
  </sheetData>
  <sheetProtection algorithmName="SHA-512" hashValue="hX1eWCsbM6uR9uFFugJaYjVXOqpQwUrdD3not36JQe6XUpU16nFGTXC3mTN2fM8re3FquVZ8bCpRyLZlV8ymAg==" saltValue="1/vBo4iEwLh6hsVLjtkhwQ==" spinCount="100000" sheet="1" objects="1" scenarios="1"/>
  <mergeCells count="72">
    <mergeCell ref="D13:F13"/>
    <mergeCell ref="D2:G2"/>
    <mergeCell ref="D3:G3"/>
    <mergeCell ref="D4:G4"/>
    <mergeCell ref="D5:G5"/>
    <mergeCell ref="D6:G6"/>
    <mergeCell ref="D7:G7"/>
    <mergeCell ref="D8:G8"/>
    <mergeCell ref="C9:I9"/>
    <mergeCell ref="D10:F10"/>
    <mergeCell ref="D11:F11"/>
    <mergeCell ref="D12:F12"/>
    <mergeCell ref="D29:F29"/>
    <mergeCell ref="D14:F14"/>
    <mergeCell ref="D15:F15"/>
    <mergeCell ref="D16:F16"/>
    <mergeCell ref="D17:F17"/>
    <mergeCell ref="D18:F18"/>
    <mergeCell ref="D19:F19"/>
    <mergeCell ref="D22:F22"/>
    <mergeCell ref="D24:F24"/>
    <mergeCell ref="D25:F25"/>
    <mergeCell ref="D26:F26"/>
    <mergeCell ref="D27:F27"/>
    <mergeCell ref="A58:A59"/>
    <mergeCell ref="D31:F31"/>
    <mergeCell ref="D32:F32"/>
    <mergeCell ref="D33:F33"/>
    <mergeCell ref="D35:F35"/>
    <mergeCell ref="A38:A41"/>
    <mergeCell ref="D38:F41"/>
    <mergeCell ref="G38:G41"/>
    <mergeCell ref="D42:F42"/>
    <mergeCell ref="A46:A47"/>
    <mergeCell ref="A50:A51"/>
    <mergeCell ref="A54:A55"/>
    <mergeCell ref="D73:F73"/>
    <mergeCell ref="C62:I62"/>
    <mergeCell ref="D63:F63"/>
    <mergeCell ref="D64:F64"/>
    <mergeCell ref="D65:F65"/>
    <mergeCell ref="D66:F66"/>
    <mergeCell ref="D67:F67"/>
    <mergeCell ref="D68:F68"/>
    <mergeCell ref="D69:F69"/>
    <mergeCell ref="D70:F70"/>
    <mergeCell ref="D71:F71"/>
    <mergeCell ref="D72:F72"/>
    <mergeCell ref="D89:F89"/>
    <mergeCell ref="D74:F74"/>
    <mergeCell ref="D75:F75"/>
    <mergeCell ref="D77:F77"/>
    <mergeCell ref="D80:G80"/>
    <mergeCell ref="D81:F81"/>
    <mergeCell ref="D82:F82"/>
    <mergeCell ref="D84:F84"/>
    <mergeCell ref="D85:F85"/>
    <mergeCell ref="D86:F86"/>
    <mergeCell ref="D87:F87"/>
    <mergeCell ref="D88:F88"/>
    <mergeCell ref="D109:F109"/>
    <mergeCell ref="D90:G90"/>
    <mergeCell ref="D93:F93"/>
    <mergeCell ref="D94:F94"/>
    <mergeCell ref="D95:F95"/>
    <mergeCell ref="D96:F96"/>
    <mergeCell ref="D100:F100"/>
    <mergeCell ref="D101:F101"/>
    <mergeCell ref="D102:F102"/>
    <mergeCell ref="D106:F106"/>
    <mergeCell ref="D107:F107"/>
    <mergeCell ref="D108:F108"/>
  </mergeCells>
  <conditionalFormatting sqref="A38:A41 D38:G41 C42 B42:B43 A45:A47 A49:A55 A57:A59">
    <cfRule type="expression" dxfId="45" priority="33">
      <formula>OR($G$25=$T$3,$B$27=$P$2)</formula>
    </cfRule>
  </conditionalFormatting>
  <conditionalFormatting sqref="A56">
    <cfRule type="expression" dxfId="44" priority="32">
      <formula>$N$10=FALSE</formula>
    </cfRule>
  </conditionalFormatting>
  <conditionalFormatting sqref="A66">
    <cfRule type="expression" dxfId="43" priority="31">
      <formula>$N$11=FALSE</formula>
    </cfRule>
  </conditionalFormatting>
  <conditionalFormatting sqref="A8:G8">
    <cfRule type="expression" dxfId="42" priority="35">
      <formula>$B$5="No"</formula>
    </cfRule>
  </conditionalFormatting>
  <conditionalFormatting sqref="A37:G38 A39:I61 C9 A10:I36">
    <cfRule type="expression" dxfId="41" priority="38">
      <formula>$N$10=FALSE</formula>
    </cfRule>
  </conditionalFormatting>
  <conditionalFormatting sqref="A38:G59">
    <cfRule type="expression" dxfId="40" priority="51">
      <formula>OR($B$14="I.S. EN 14511")</formula>
    </cfRule>
  </conditionalFormatting>
  <conditionalFormatting sqref="B8">
    <cfRule type="expression" dxfId="39" priority="36" stopIfTrue="1">
      <formula>OR($B$14="I.S. EN 14511")</formula>
    </cfRule>
  </conditionalFormatting>
  <conditionalFormatting sqref="B13">
    <cfRule type="expression" dxfId="38" priority="54" stopIfTrue="1">
      <formula>$B$14="I.S. EN 14511"</formula>
    </cfRule>
  </conditionalFormatting>
  <conditionalFormatting sqref="B14">
    <cfRule type="expression" dxfId="37" priority="55" stopIfTrue="1">
      <formula>#REF!="Domestic Hot Water"</formula>
    </cfRule>
  </conditionalFormatting>
  <conditionalFormatting sqref="B15:B16 B32:F36">
    <cfRule type="expression" dxfId="36" priority="56">
      <formula>OR($B$14="I.S. EN 14511")</formula>
    </cfRule>
  </conditionalFormatting>
  <conditionalFormatting sqref="B16">
    <cfRule type="expression" dxfId="35" priority="27">
      <formula>($B$24="Yesnextversion")</formula>
    </cfRule>
  </conditionalFormatting>
  <conditionalFormatting sqref="B17">
    <cfRule type="expression" dxfId="34" priority="41" stopIfTrue="1">
      <formula>OR($B$14="I.S. EN 14511",#REF!="Domestic Hot Water")</formula>
    </cfRule>
  </conditionalFormatting>
  <conditionalFormatting sqref="B19">
    <cfRule type="expression" dxfId="33" priority="58" stopIfTrue="1">
      <formula>#REF!="Domestic Hot Water"</formula>
    </cfRule>
  </conditionalFormatting>
  <conditionalFormatting sqref="B29">
    <cfRule type="expression" dxfId="32" priority="61" stopIfTrue="1">
      <formula>AND($B$14="I.S. EN 14511",$B$68="I.S. EN 14511")</formula>
    </cfRule>
  </conditionalFormatting>
  <conditionalFormatting sqref="B33:B36">
    <cfRule type="expression" dxfId="31" priority="49">
      <formula>$B$32="No"</formula>
    </cfRule>
  </conditionalFormatting>
  <conditionalFormatting sqref="B63:B64">
    <cfRule type="expression" dxfId="30" priority="30">
      <formula>$N$10=FALSE</formula>
    </cfRule>
  </conditionalFormatting>
  <conditionalFormatting sqref="B66">
    <cfRule type="expression" dxfId="29" priority="42" stopIfTrue="1">
      <formula>$B$14="I.S. EN 14511"</formula>
    </cfRule>
  </conditionalFormatting>
  <conditionalFormatting sqref="B68">
    <cfRule type="expression" dxfId="28" priority="43" stopIfTrue="1">
      <formula>#REF!="Space heating"</formula>
    </cfRule>
  </conditionalFormatting>
  <conditionalFormatting sqref="B69">
    <cfRule type="expression" dxfId="27" priority="40" stopIfTrue="1">
      <formula>OR($B$14="I.S. EN 14511",#REF!="Domestic Hot Water")</formula>
    </cfRule>
  </conditionalFormatting>
  <conditionalFormatting sqref="B73">
    <cfRule type="expression" dxfId="26" priority="59" stopIfTrue="1">
      <formula>OR(#REF!="Space Heating",#REF!="I.S. EN 14511",#REF!="I.S. EN 255-3",$B$70="No Hot Water Store")</formula>
    </cfRule>
    <cfRule type="expression" dxfId="25" priority="60" stopIfTrue="1">
      <formula>OR(#REF!="I.S. EN 14511",#REF!="I.S. EN 255-3",#REF!="Space heating",$B$70="No Hot Water Store")</formula>
    </cfRule>
  </conditionalFormatting>
  <conditionalFormatting sqref="B74 B70">
    <cfRule type="expression" dxfId="24" priority="57" stopIfTrue="1">
      <formula>OR(#REF!="Space Heating")</formula>
    </cfRule>
  </conditionalFormatting>
  <conditionalFormatting sqref="B74">
    <cfRule type="expression" dxfId="23" priority="46">
      <formula>#REF!="I.S. EN 14511"</formula>
    </cfRule>
  </conditionalFormatting>
  <conditionalFormatting sqref="B75:B78">
    <cfRule type="expression" dxfId="22" priority="50" stopIfTrue="1">
      <formula>$B$74="No"</formula>
    </cfRule>
  </conditionalFormatting>
  <conditionalFormatting sqref="B81">
    <cfRule type="expression" dxfId="21" priority="44">
      <formula>OR($B$68="I.S. EN 255-3",$B$68="I.S. EN 14511")</formula>
    </cfRule>
  </conditionalFormatting>
  <conditionalFormatting sqref="B82:B89">
    <cfRule type="expression" dxfId="20" priority="45" stopIfTrue="1">
      <formula>OR($B$68="I.S. EN 255-3",$B$68="I.S. EN 14511")</formula>
    </cfRule>
  </conditionalFormatting>
  <conditionalFormatting sqref="B92:B96">
    <cfRule type="expression" dxfId="19" priority="52" stopIfTrue="1">
      <formula>AND($B$14&lt;&gt;"I.S. EN 14511",$B$68&lt;&gt;"I.S. EN 14511")</formula>
    </cfRule>
  </conditionalFormatting>
  <conditionalFormatting sqref="B100:B102">
    <cfRule type="expression" dxfId="18" priority="53" stopIfTrue="1">
      <formula>$B$68&lt;&gt;"I.S. EN 255-3"</formula>
    </cfRule>
  </conditionalFormatting>
  <conditionalFormatting sqref="C38">
    <cfRule type="expression" dxfId="17" priority="34">
      <formula>OR($B$14="I.S. EN 14511")</formula>
    </cfRule>
  </conditionalFormatting>
  <conditionalFormatting sqref="C62 A63:I68 A69:H69 A70:I90 A99:I102">
    <cfRule type="expression" dxfId="16" priority="37">
      <formula>$N$11=FALSE</formula>
    </cfRule>
  </conditionalFormatting>
  <conditionalFormatting sqref="C44:G47">
    <cfRule type="expression" dxfId="15" priority="1">
      <formula>$C$39="No"</formula>
    </cfRule>
  </conditionalFormatting>
  <conditionalFormatting sqref="C48:G51">
    <cfRule type="expression" dxfId="14" priority="48">
      <formula>$C$40="No"</formula>
    </cfRule>
  </conditionalFormatting>
  <conditionalFormatting sqref="C52:G55">
    <cfRule type="expression" dxfId="13" priority="2">
      <formula>$C$38="No"</formula>
    </cfRule>
  </conditionalFormatting>
  <conditionalFormatting sqref="C56:G59">
    <cfRule type="expression" dxfId="12" priority="39">
      <formula>$C$41="No"</formula>
    </cfRule>
  </conditionalFormatting>
  <conditionalFormatting sqref="C9:I9">
    <cfRule type="containsText" dxfId="11" priority="29" operator="containsText" text="Error">
      <formula>NOT(ISERROR(SEARCH("Error",C9)))</formula>
    </cfRule>
  </conditionalFormatting>
  <conditionalFormatting sqref="C62:I62">
    <cfRule type="containsText" dxfId="10" priority="28" operator="containsText" text="ERROR">
      <formula>NOT(ISERROR(SEARCH("ERROR",C62)))</formula>
    </cfRule>
  </conditionalFormatting>
  <conditionalFormatting sqref="D90 D91:F97">
    <cfRule type="expression" dxfId="9" priority="47">
      <formula>OR(#REF!="Space heating",#REF!="I.S. EN 14511",#REF!="I.S. EN 255-3")</formula>
    </cfRule>
  </conditionalFormatting>
  <conditionalFormatting sqref="D14:F14">
    <cfRule type="containsText" dxfId="8" priority="8" operator="containsText" text="ERROR">
      <formula>NOT(ISERROR(SEARCH("ERROR",D14)))</formula>
    </cfRule>
  </conditionalFormatting>
  <conditionalFormatting sqref="D68:F68">
    <cfRule type="containsText" dxfId="7" priority="7" operator="containsText" text="ERROR">
      <formula>NOT(ISERROR(SEARCH("ERROR",D68)))</formula>
    </cfRule>
  </conditionalFormatting>
  <conditionalFormatting sqref="H37:I38">
    <cfRule type="expression" dxfId="6" priority="13">
      <formula>$N$10=FALSE</formula>
    </cfRule>
    <cfRule type="expression" dxfId="5" priority="14">
      <formula>OR($B$14="I.S. EN 14511")</formula>
    </cfRule>
  </conditionalFormatting>
  <conditionalFormatting sqref="I68">
    <cfRule type="expression" dxfId="4" priority="6" stopIfTrue="1">
      <formula>OR($B$14="I.S. EN 14511",#REF!="Domestic Hot Water")</formula>
    </cfRule>
  </conditionalFormatting>
  <conditionalFormatting sqref="J37:J41">
    <cfRule type="expression" dxfId="3" priority="9">
      <formula>$N$10=FALSE</formula>
    </cfRule>
    <cfRule type="expression" dxfId="2" priority="10">
      <formula>OR($B$14="I.S. EN 14511")</formula>
    </cfRule>
  </conditionalFormatting>
  <conditionalFormatting sqref="J67:J68">
    <cfRule type="expression" dxfId="1" priority="3">
      <formula>$N$11=FALSE</formula>
    </cfRule>
  </conditionalFormatting>
  <conditionalFormatting sqref="J68">
    <cfRule type="expression" dxfId="0" priority="4" stopIfTrue="1">
      <formula>OR($B$14="I.S. EN 14511",#REF!="Domestic Hot Water")</formula>
    </cfRule>
  </conditionalFormatting>
  <dataValidations count="18">
    <dataValidation type="list" allowBlank="1" showInputMessage="1" showErrorMessage="1" sqref="B81" xr:uid="{A09F3331-A231-4083-8745-7C8D36D6A6DB}">
      <formula1>$AR$1:$AR$2</formula1>
    </dataValidation>
    <dataValidation type="list" allowBlank="1" showInputMessage="1" showErrorMessage="1" sqref="B87" xr:uid="{3F4B8424-E7AC-401B-A4F8-4B601C599933}">
      <formula1>$AL$1:$AL$11</formula1>
    </dataValidation>
    <dataValidation type="list" allowBlank="1" showInputMessage="1" showErrorMessage="1" sqref="B29" xr:uid="{2783DD30-83B7-46D8-8AFF-6BCC17DADFFB}">
      <formula1>$AP$1:$AP$3</formula1>
    </dataValidation>
    <dataValidation type="list" allowBlank="1" showInputMessage="1" showErrorMessage="1" sqref="B70" xr:uid="{746E887D-85D6-4D23-A8BC-816E6CE9711B}">
      <formula1>$AG$1:$AG$4</formula1>
    </dataValidation>
    <dataValidation type="list" allowBlank="1" showInputMessage="1" showErrorMessage="1" sqref="B33 B75" xr:uid="{2015EAB9-C685-4805-BEA0-CAF18EF99E1A}">
      <formula1>$W$2:$W$12</formula1>
    </dataValidation>
    <dataValidation type="list" allowBlank="1" showInputMessage="1" showErrorMessage="1" sqref="B13 B66" xr:uid="{713387F0-62FC-49AB-98F5-B7F506E20DE0}">
      <formula1>$Z$1:$Z$2</formula1>
    </dataValidation>
    <dataValidation type="list" allowBlank="1" showInputMessage="1" showErrorMessage="1" sqref="B67" xr:uid="{666374DC-2EB9-456B-A4E4-BFC9A68B8252}">
      <formula1>$P$2:$P$3</formula1>
    </dataValidation>
    <dataValidation type="decimal" allowBlank="1" showInputMessage="1" showErrorMessage="1" errorTitle="Design Flow Temperature" error="The design flow temperature must be between 20oC and 65oC" sqref="B25" xr:uid="{0B6711CE-7EF5-4217-8D5C-EF52443153BD}">
      <formula1>20</formula1>
      <formula2>65</formula2>
    </dataValidation>
    <dataValidation allowBlank="1" showInputMessage="1" showErrorMessage="1" errorTitle="Design Flow Temperature" error="The design flow temperature must be between 35oC and 55oC" sqref="B20" xr:uid="{AB9CE470-E750-4E42-BDC1-5201BA1F468C}"/>
    <dataValidation type="list" allowBlank="1" showInputMessage="1" showErrorMessage="1" sqref="B94:B96 B32 B92 C38:C41 B74 B21:B23" xr:uid="{32AFF047-2D82-4A63-9073-E18586CC8DB6}">
      <formula1>$AB$1:$AB$2</formula1>
    </dataValidation>
    <dataValidation type="list" allowBlank="1" showInputMessage="1" showErrorMessage="1" sqref="G12" xr:uid="{5EEE7DA5-38EB-49A6-9629-BCF5C9ACCBED}">
      <formula1>$T$2:$T$3</formula1>
    </dataValidation>
    <dataValidation type="list" allowBlank="1" showInputMessage="1" showErrorMessage="1" sqref="G11 G63" xr:uid="{22A59D54-EB24-4D0C-B812-FBAAE90964ED}">
      <formula1>$Q$2:$Q$3</formula1>
    </dataValidation>
    <dataValidation type="list" allowBlank="1" showInputMessage="1" showErrorMessage="1" sqref="G10" xr:uid="{2DF3530F-C0C7-4AED-8502-892FD5F5F2D8}">
      <formula1>$R$1:$R$2</formula1>
    </dataValidation>
    <dataValidation type="list" allowBlank="1" showInputMessage="1" showErrorMessage="1" sqref="B65" xr:uid="{61B0A259-554F-4F06-9714-CDB832353D3B}">
      <formula1>$S$1:$S$5</formula1>
    </dataValidation>
    <dataValidation type="list" allowBlank="1" showInputMessage="1" showErrorMessage="1" sqref="B12" xr:uid="{82495739-F980-47D9-AF4A-4BA91845B77C}">
      <formula1>$S$1:$S$9</formula1>
    </dataValidation>
    <dataValidation type="list" allowBlank="1" showInputMessage="1" showErrorMessage="1" sqref="B68" xr:uid="{3267EED0-9167-4855-8979-03843B00BABA}">
      <formula1>$N$4:$N$8</formula1>
    </dataValidation>
    <dataValidation type="list" allowBlank="1" showInputMessage="1" showErrorMessage="1" sqref="B14" xr:uid="{1F6A734F-107E-4D7A-8E3D-4FAE10A09176}">
      <formula1>$N$1:$N$4</formula1>
    </dataValidation>
    <dataValidation type="list" allowBlank="1" showInputMessage="1" showErrorMessage="1" sqref="G64" xr:uid="{009EA1C5-31C1-473B-AF2D-048354DBFC70}">
      <formula1>$T$2:$T$2</formula1>
    </dataValidation>
  </dataValidations>
  <pageMargins left="0.75" right="0.75" top="1" bottom="1" header="0.5" footer="0.5"/>
  <pageSetup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K161"/>
  <sheetViews>
    <sheetView zoomScaleNormal="100" workbookViewId="0">
      <selection activeCell="X8" sqref="X8"/>
    </sheetView>
  </sheetViews>
  <sheetFormatPr defaultColWidth="9.140625" defaultRowHeight="12.75"/>
  <cols>
    <col min="1" max="1" width="47.140625" style="80" customWidth="1"/>
    <col min="2" max="2" width="39" style="80" customWidth="1"/>
    <col min="3" max="3" width="9.5703125" style="80" bestFit="1" customWidth="1"/>
    <col min="4" max="4" width="11.5703125" style="80" bestFit="1" customWidth="1"/>
    <col min="5" max="7" width="15" style="80" customWidth="1"/>
    <col min="8" max="8" width="11.85546875" style="80" customWidth="1"/>
    <col min="9" max="9" width="73.42578125" style="80" customWidth="1"/>
    <col min="10" max="10" width="35.42578125" style="80" customWidth="1"/>
    <col min="11" max="11" width="14.5703125" style="80" customWidth="1"/>
    <col min="12" max="12" width="36.140625" style="82" customWidth="1"/>
    <col min="13" max="13" width="14.5703125" style="80" customWidth="1"/>
    <col min="14" max="14" width="9.140625" style="80"/>
    <col min="15" max="15" width="15.85546875" style="80" customWidth="1"/>
    <col min="16" max="16" width="15.5703125" style="80" customWidth="1"/>
    <col min="17" max="19" width="16.85546875" style="80" customWidth="1"/>
    <col min="20" max="20" width="20" style="80" customWidth="1"/>
    <col min="21" max="21" width="18.5703125" style="80" customWidth="1"/>
    <col min="22" max="22" width="11.42578125" style="80" customWidth="1"/>
    <col min="23" max="23" width="10.85546875" style="80" customWidth="1"/>
    <col min="24" max="24" width="9.140625" style="80"/>
    <col min="25" max="25" width="11.5703125" style="80" customWidth="1"/>
    <col min="26" max="27" width="14.5703125" style="80" customWidth="1"/>
    <col min="28" max="28" width="12.5703125" style="80" customWidth="1"/>
    <col min="29" max="29" width="26" style="82" customWidth="1"/>
    <col min="30" max="31" width="11.42578125" style="80" customWidth="1"/>
    <col min="32" max="16384" width="9.140625" style="80"/>
  </cols>
  <sheetData>
    <row r="1" spans="1:35" ht="18.75" thickBot="1">
      <c r="A1" s="522" t="s">
        <v>447</v>
      </c>
      <c r="C1" s="80" t="s">
        <v>448</v>
      </c>
      <c r="D1" s="80" t="s">
        <v>449</v>
      </c>
      <c r="E1" s="80" t="s">
        <v>450</v>
      </c>
      <c r="F1" s="80" t="s">
        <v>451</v>
      </c>
      <c r="G1" s="80" t="s">
        <v>452</v>
      </c>
      <c r="H1" s="80" t="s">
        <v>453</v>
      </c>
      <c r="I1" s="523" t="s">
        <v>454</v>
      </c>
      <c r="J1" s="258" t="s">
        <v>200</v>
      </c>
      <c r="K1" s="259">
        <v>1</v>
      </c>
      <c r="L1" s="40"/>
      <c r="M1" s="524"/>
      <c r="N1" s="41"/>
      <c r="O1" s="80" t="s">
        <v>455</v>
      </c>
      <c r="P1" s="80" t="s">
        <v>23</v>
      </c>
      <c r="Q1" s="80" t="s">
        <v>23</v>
      </c>
      <c r="T1" s="81" t="e">
        <f>IF(E111=24,(1-AG24)*H8,IF(E111=16,(1-AH24)*H8,(1-AI24)*H8))</f>
        <v>#VALUE!</v>
      </c>
      <c r="U1" s="81" t="e">
        <f>H12</f>
        <v>#DIV/0!</v>
      </c>
      <c r="AA1" s="80" t="e">
        <f>IF(E111=24,(AG24)*H8,IF(E111=16,(AH24)*H8,(AI24)*H8))</f>
        <v>#VALUE!</v>
      </c>
      <c r="AC1" s="40"/>
      <c r="AD1" s="524"/>
    </row>
    <row r="2" spans="1:35" ht="27.6" customHeight="1">
      <c r="A2" s="80" t="s">
        <v>456</v>
      </c>
      <c r="B2" s="525" t="s">
        <v>457</v>
      </c>
      <c r="C2" s="526" t="s">
        <v>458</v>
      </c>
      <c r="D2" s="526" t="s">
        <v>459</v>
      </c>
      <c r="E2" s="526" t="s">
        <v>460</v>
      </c>
      <c r="F2" s="526" t="s">
        <v>461</v>
      </c>
      <c r="G2" s="526" t="s">
        <v>462</v>
      </c>
      <c r="J2" s="527"/>
      <c r="K2" s="523"/>
      <c r="M2" s="523"/>
      <c r="AD2" s="523" t="s">
        <v>23</v>
      </c>
    </row>
    <row r="3" spans="1:35" ht="69.599999999999994" customHeight="1">
      <c r="A3" s="80" t="s">
        <v>463</v>
      </c>
      <c r="B3" s="80" t="s">
        <v>464</v>
      </c>
      <c r="C3" s="81" t="str">
        <f>E101</f>
        <v xml:space="preserve"> </v>
      </c>
      <c r="D3" s="80">
        <v>-7</v>
      </c>
      <c r="E3" s="80">
        <v>2</v>
      </c>
      <c r="F3" s="80">
        <v>7</v>
      </c>
      <c r="G3" s="80">
        <v>12</v>
      </c>
      <c r="I3" s="528" t="str">
        <f>"Based on standard "&amp;E100</f>
        <v>Based on standard I.S. EN 14825</v>
      </c>
      <c r="J3" s="527"/>
      <c r="K3" s="523"/>
      <c r="M3" s="523" t="s">
        <v>465</v>
      </c>
      <c r="N3" s="527" t="s">
        <v>369</v>
      </c>
      <c r="O3" s="82" t="s">
        <v>466</v>
      </c>
      <c r="P3" s="82" t="s">
        <v>467</v>
      </c>
      <c r="Q3" s="82" t="s">
        <v>468</v>
      </c>
      <c r="R3" s="82" t="s">
        <v>469</v>
      </c>
      <c r="S3" s="82" t="s">
        <v>470</v>
      </c>
      <c r="T3" s="82" t="s">
        <v>471</v>
      </c>
      <c r="U3" s="82" t="s">
        <v>472</v>
      </c>
      <c r="V3" s="82" t="s">
        <v>473</v>
      </c>
      <c r="W3" s="529" t="s">
        <v>474</v>
      </c>
      <c r="X3" s="529" t="s">
        <v>475</v>
      </c>
      <c r="Y3" s="529" t="s">
        <v>476</v>
      </c>
      <c r="Z3" s="529" t="s">
        <v>477</v>
      </c>
      <c r="AA3" s="527" t="s">
        <v>478</v>
      </c>
      <c r="AB3" s="527" t="s">
        <v>479</v>
      </c>
      <c r="AC3" s="527" t="s">
        <v>480</v>
      </c>
      <c r="AD3" s="523"/>
      <c r="AF3" s="717" t="s">
        <v>481</v>
      </c>
      <c r="AG3" s="717"/>
      <c r="AH3" s="717"/>
      <c r="AI3" s="717"/>
    </row>
    <row r="4" spans="1:35" ht="14.25">
      <c r="A4" s="523" t="s">
        <v>482</v>
      </c>
      <c r="B4" s="80" t="s">
        <v>483</v>
      </c>
      <c r="C4" s="80">
        <v>-12</v>
      </c>
      <c r="D4" s="80" t="e">
        <f>(C3+D3)/2</f>
        <v>#VALUE!</v>
      </c>
      <c r="E4" s="80">
        <f>(D3+E3)/2</f>
        <v>-2.5</v>
      </c>
      <c r="F4" s="80">
        <f>(E3+F3)/2</f>
        <v>4.5</v>
      </c>
      <c r="G4" s="80">
        <f>(F3+G3)/2</f>
        <v>9.5</v>
      </c>
      <c r="I4" s="528" t="s">
        <v>484</v>
      </c>
      <c r="J4" s="527"/>
      <c r="K4" s="523"/>
      <c r="M4" s="530" t="str">
        <f>C3</f>
        <v xml:space="preserve"> </v>
      </c>
      <c r="N4" s="81">
        <f>C41</f>
        <v>0</v>
      </c>
      <c r="O4" s="531">
        <v>-12</v>
      </c>
      <c r="P4" s="532">
        <f>'Meteorological data'!F4</f>
        <v>0</v>
      </c>
      <c r="Q4" s="532">
        <f>'Meteorological data'!G4</f>
        <v>0</v>
      </c>
      <c r="R4" s="533">
        <v>0</v>
      </c>
      <c r="S4" s="534">
        <f t="shared" ref="S4:S51" si="0">R4*((24-$E$112)/24)</f>
        <v>0</v>
      </c>
      <c r="T4" s="534" t="e">
        <f>$T$1*P4</f>
        <v>#VALUE!</v>
      </c>
      <c r="U4" s="534" t="e">
        <f>$U$1*Q4</f>
        <v>#DIV/0!</v>
      </c>
      <c r="V4" s="534" t="e">
        <f t="shared" ref="V4:V51" si="1">IF($E$91=TRUE,(T4+U4),T4)</f>
        <v>#VALUE!</v>
      </c>
      <c r="W4" s="81" t="e">
        <f t="shared" ref="W4:W31" si="2">$E$105+((($E$107-$E$110)/2)*(($E$105-O4)/($E$105-$E$104)))+((AVERAGE($E$107,$E$110)-$E$105)*(($E$105-O4)/($E$105-$E$104))^(1/$E$108))</f>
        <v>#VALUE!</v>
      </c>
      <c r="X4" s="81" t="e">
        <f>IF($M$4&lt;&gt;-7,(($X$9-$N$4)/($O$9-$M$4))*(O4-$M$4)+$N$4,0.1)</f>
        <v>#VALUE!</v>
      </c>
      <c r="Y4" s="534" t="e">
        <f>V4/X4</f>
        <v>#VALUE!</v>
      </c>
      <c r="Z4" s="534" t="e">
        <f>IF((Y4-S4)&lt;0,0,(Y4-S4))</f>
        <v>#VALUE!</v>
      </c>
      <c r="AA4" s="534" t="e">
        <f>$AA$1*P4</f>
        <v>#VALUE!</v>
      </c>
      <c r="AB4" s="534" t="e">
        <f>X4*Z4</f>
        <v>#VALUE!</v>
      </c>
      <c r="AC4" s="535" t="e">
        <f>AA4+AB4</f>
        <v>#VALUE!</v>
      </c>
      <c r="AF4" s="523" t="s">
        <v>485</v>
      </c>
      <c r="AG4" s="80">
        <v>24</v>
      </c>
      <c r="AH4" s="80">
        <v>16</v>
      </c>
      <c r="AI4" s="80">
        <v>11</v>
      </c>
    </row>
    <row r="5" spans="1:35" ht="14.25">
      <c r="A5" s="523" t="s">
        <v>486</v>
      </c>
      <c r="B5" s="80" t="s">
        <v>483</v>
      </c>
      <c r="C5" s="80" t="e">
        <f>(C3+D3)/2</f>
        <v>#VALUE!</v>
      </c>
      <c r="D5" s="80">
        <f>(D3+E3)/2</f>
        <v>-2.5</v>
      </c>
      <c r="E5" s="80">
        <f>(E3+F3)/2</f>
        <v>4.5</v>
      </c>
      <c r="F5" s="80">
        <f>(F3+G3)/2</f>
        <v>9.5</v>
      </c>
      <c r="G5" s="80">
        <v>35</v>
      </c>
      <c r="I5" s="528" t="s">
        <v>487</v>
      </c>
      <c r="J5" s="527"/>
      <c r="K5" s="523"/>
      <c r="M5" s="523"/>
      <c r="O5" s="531">
        <f t="shared" ref="O5:O51" si="3">O4+1</f>
        <v>-11</v>
      </c>
      <c r="P5" s="532">
        <f>'Meteorological data'!F5</f>
        <v>0</v>
      </c>
      <c r="Q5" s="532">
        <f>'Meteorological data'!G5</f>
        <v>0</v>
      </c>
      <c r="R5" s="533">
        <v>0</v>
      </c>
      <c r="S5" s="534">
        <f t="shared" si="0"/>
        <v>0</v>
      </c>
      <c r="T5" s="534" t="e">
        <f t="shared" ref="T5:T31" si="4">$T$1*P5</f>
        <v>#VALUE!</v>
      </c>
      <c r="U5" s="534" t="e">
        <f t="shared" ref="U5:U51" si="5">$U$1*Q5</f>
        <v>#DIV/0!</v>
      </c>
      <c r="V5" s="534" t="e">
        <f t="shared" si="1"/>
        <v>#VALUE!</v>
      </c>
      <c r="W5" s="81" t="e">
        <f t="shared" si="2"/>
        <v>#VALUE!</v>
      </c>
      <c r="X5" s="81" t="e">
        <f>IF($M$4&lt;&gt;-7,(($X$9-$N$4)/($O$9-$M$4))*(O5-$M$4)+$N$4,0.1)</f>
        <v>#VALUE!</v>
      </c>
      <c r="Y5" s="534" t="e">
        <f t="shared" ref="Y5:Y15" si="6">V5/X5</f>
        <v>#VALUE!</v>
      </c>
      <c r="Z5" s="534" t="e">
        <f t="shared" ref="Z5:Z31" si="7">IF((Y5-S5)&lt;0,0,(Y5-S5))</f>
        <v>#VALUE!</v>
      </c>
      <c r="AA5" s="534" t="e">
        <f t="shared" ref="AA5:AA31" si="8">$AA$1*P5</f>
        <v>#VALUE!</v>
      </c>
      <c r="AB5" s="534" t="e">
        <f t="shared" ref="AB5:AB31" si="9">X5*Z5</f>
        <v>#VALUE!</v>
      </c>
      <c r="AC5" s="535" t="e">
        <f t="shared" ref="AC5:AC31" si="10">AA5+AB5</f>
        <v>#VALUE!</v>
      </c>
      <c r="AF5" s="80">
        <v>0.2</v>
      </c>
      <c r="AG5" s="80">
        <v>0.4</v>
      </c>
      <c r="AH5" s="80">
        <v>0.53</v>
      </c>
      <c r="AI5" s="80">
        <v>0.64</v>
      </c>
    </row>
    <row r="6" spans="1:35" ht="14.25">
      <c r="A6" s="523" t="s">
        <v>488</v>
      </c>
      <c r="B6" s="523" t="s">
        <v>489</v>
      </c>
      <c r="C6" s="80" t="str">
        <f>IF(LEFT($E$98,3)="Air",C3,
IF(LEFT($E$98,5)="Water",10,
IF($E$98="Direct exchange (DX)",4,
IF(LEFT($E$98,7)="Exhaust",20,
0))))</f>
        <v xml:space="preserve"> </v>
      </c>
      <c r="D6" s="80">
        <f>IF(LEFT($E$98,3)="Air",D3,
IF(LEFT($E$98,5)="Water",10,
IF($E$98="Direct exchange (DX)",4,
IF(LEFT($E$98,7)="Exhaust",20,
0))))</f>
        <v>-7</v>
      </c>
      <c r="E6" s="80">
        <f>IF(LEFT($E$98,3)="Air",E3,
IF(LEFT($E$98,5)="Water",10,
IF($E$98="Direct exchange (DX)",4,
IF(LEFT($E$98,7)="Exhaust",20,
0))))</f>
        <v>2</v>
      </c>
      <c r="F6" s="80">
        <f>IF(LEFT($E$98,3)="Air",F3,
IF(LEFT($E$98,5)="Water",10,
IF($E$98="Direct exchange (DX)",4,
IF(LEFT($E$98,7)="Exhaust",20,
0))))</f>
        <v>7</v>
      </c>
      <c r="G6" s="80">
        <f>IF(LEFT($E$98,3)="Air",G3,
IF(LEFT($E$98,5)="Water",10,
IF($E$98="Direct exchange (DX)",4,
IF(LEFT($E$98,7)="Exhaust",20,
0))))</f>
        <v>12</v>
      </c>
      <c r="I6" s="536"/>
      <c r="J6" s="527"/>
      <c r="N6" s="82"/>
      <c r="O6" s="531">
        <f t="shared" si="3"/>
        <v>-10</v>
      </c>
      <c r="P6" s="532">
        <f>'Meteorological data'!F6</f>
        <v>0</v>
      </c>
      <c r="Q6" s="532">
        <f>'Meteorological data'!G6</f>
        <v>0</v>
      </c>
      <c r="R6" s="533">
        <v>0</v>
      </c>
      <c r="S6" s="534">
        <f t="shared" si="0"/>
        <v>0</v>
      </c>
      <c r="T6" s="534" t="e">
        <f>$T$1*P6</f>
        <v>#VALUE!</v>
      </c>
      <c r="U6" s="534" t="e">
        <f t="shared" si="5"/>
        <v>#DIV/0!</v>
      </c>
      <c r="V6" s="534" t="e">
        <f t="shared" si="1"/>
        <v>#VALUE!</v>
      </c>
      <c r="W6" s="81" t="e">
        <f t="shared" si="2"/>
        <v>#VALUE!</v>
      </c>
      <c r="X6" s="81" t="e">
        <f>IF($M$4&lt;&gt;-7,(($X$9-$N$4)/($O$9-$M$4))*(O6-$M$4)+$N$4,0.1)</f>
        <v>#VALUE!</v>
      </c>
      <c r="Y6" s="534" t="e">
        <f t="shared" si="6"/>
        <v>#VALUE!</v>
      </c>
      <c r="Z6" s="534" t="e">
        <f t="shared" si="7"/>
        <v>#VALUE!</v>
      </c>
      <c r="AA6" s="534" t="e">
        <f t="shared" si="8"/>
        <v>#VALUE!</v>
      </c>
      <c r="AB6" s="534" t="e">
        <f t="shared" si="9"/>
        <v>#VALUE!</v>
      </c>
      <c r="AC6" s="535" t="e">
        <f t="shared" si="10"/>
        <v>#VALUE!</v>
      </c>
      <c r="AD6" s="523"/>
      <c r="AF6" s="80">
        <v>0.25</v>
      </c>
      <c r="AG6" s="80">
        <v>0.28000000000000003</v>
      </c>
      <c r="AH6" s="80">
        <v>0.43</v>
      </c>
      <c r="AI6" s="80">
        <v>0.56999999999999995</v>
      </c>
    </row>
    <row r="7" spans="1:35">
      <c r="A7" s="80" t="s">
        <v>490</v>
      </c>
      <c r="B7" s="528" t="s">
        <v>491</v>
      </c>
      <c r="C7" s="81">
        <f>('Meteorological data'!E8-'Meteorological data'!E4)/'Meteorological data'!E31</f>
        <v>0</v>
      </c>
      <c r="D7" s="81">
        <f>('Meteorological data'!E14-'Meteorological data'!E8)/'Meteorological data'!E31</f>
        <v>5.8820364757993654E-3</v>
      </c>
      <c r="E7" s="81">
        <f>('Meteorological data'!E20-'Meteorological data'!E14)/'Meteorological data'!E31</f>
        <v>0.30193856141168873</v>
      </c>
      <c r="F7" s="81">
        <f>('Meteorological data'!E25-'Meteorological data'!E20)/'Meteorological data'!E31</f>
        <v>0.46292344386062445</v>
      </c>
      <c r="G7" s="81">
        <f>('Meteorological data'!E31-'Meteorological data'!E25)/'Meteorological data'!E31</f>
        <v>0.22925595825188747</v>
      </c>
      <c r="H7" s="81">
        <f t="shared" ref="H7:H12" si="11">SUM(C7:G7)</f>
        <v>1</v>
      </c>
      <c r="J7" s="527"/>
      <c r="L7" s="527"/>
      <c r="N7" s="523"/>
      <c r="O7" s="531">
        <f t="shared" si="3"/>
        <v>-9</v>
      </c>
      <c r="P7" s="532">
        <f>'Meteorological data'!F7</f>
        <v>0</v>
      </c>
      <c r="Q7" s="532">
        <f>'Meteorological data'!G7</f>
        <v>0</v>
      </c>
      <c r="R7" s="533">
        <v>0</v>
      </c>
      <c r="S7" s="534">
        <f t="shared" si="0"/>
        <v>0</v>
      </c>
      <c r="T7" s="534" t="e">
        <f t="shared" si="4"/>
        <v>#VALUE!</v>
      </c>
      <c r="U7" s="534" t="e">
        <f t="shared" si="5"/>
        <v>#DIV/0!</v>
      </c>
      <c r="V7" s="534" t="e">
        <f t="shared" si="1"/>
        <v>#VALUE!</v>
      </c>
      <c r="W7" s="81" t="e">
        <f t="shared" si="2"/>
        <v>#VALUE!</v>
      </c>
      <c r="X7" s="81" t="e">
        <f>IF($M$4&lt;&gt;-7,(($X$9-$N$4)/($O$9-$M$4))*(O7-$M$4)+$N$4,0.1)</f>
        <v>#VALUE!</v>
      </c>
      <c r="Y7" s="534" t="e">
        <f t="shared" si="6"/>
        <v>#VALUE!</v>
      </c>
      <c r="Z7" s="534" t="e">
        <f t="shared" si="7"/>
        <v>#VALUE!</v>
      </c>
      <c r="AA7" s="534" t="e">
        <f t="shared" si="8"/>
        <v>#VALUE!</v>
      </c>
      <c r="AB7" s="534" t="e">
        <f t="shared" si="9"/>
        <v>#VALUE!</v>
      </c>
      <c r="AC7" s="535" t="e">
        <f t="shared" si="10"/>
        <v>#VALUE!</v>
      </c>
      <c r="AF7" s="80">
        <v>0.3</v>
      </c>
      <c r="AG7" s="80">
        <v>0.19</v>
      </c>
      <c r="AH7" s="80">
        <v>0.34</v>
      </c>
      <c r="AI7" s="80">
        <v>0.49</v>
      </c>
    </row>
    <row r="8" spans="1:35">
      <c r="A8" s="523" t="s">
        <v>492</v>
      </c>
      <c r="B8" s="528" t="s">
        <v>493</v>
      </c>
      <c r="C8" s="81" t="e">
        <f>IF($E$94="No",$E$103*C7,(($E$103*$E$97/$E$96))*C7)</f>
        <v>#DIV/0!</v>
      </c>
      <c r="D8" s="81" t="e">
        <f>IF($E$94="No",$E$103*D7,(($E$103*$E$97/$E$96))*D7)</f>
        <v>#DIV/0!</v>
      </c>
      <c r="E8" s="81" t="e">
        <f>IF($E$94="No",$E$103*E7,(($E$103*$E$97/$E$96))*E7)</f>
        <v>#DIV/0!</v>
      </c>
      <c r="F8" s="81" t="e">
        <f>IF($E$94="No",$E$103*F7,(($E$103*$E$97/$E$96))*F7)</f>
        <v>#DIV/0!</v>
      </c>
      <c r="G8" s="81" t="e">
        <f>IF($E$94="No",$E$103*G7,(($E$103*$E$97/$E$96))*G7)</f>
        <v>#DIV/0!</v>
      </c>
      <c r="H8" s="81" t="e">
        <f t="shared" si="11"/>
        <v>#DIV/0!</v>
      </c>
      <c r="J8" s="527"/>
      <c r="K8" s="523"/>
      <c r="M8" s="523"/>
      <c r="O8" s="531">
        <f t="shared" si="3"/>
        <v>-8</v>
      </c>
      <c r="P8" s="532">
        <f>'Meteorological data'!F8</f>
        <v>0</v>
      </c>
      <c r="Q8" s="532">
        <f>'Meteorological data'!G8</f>
        <v>0</v>
      </c>
      <c r="R8" s="533">
        <v>0</v>
      </c>
      <c r="S8" s="534">
        <f t="shared" si="0"/>
        <v>0</v>
      </c>
      <c r="T8" s="534" t="e">
        <f t="shared" si="4"/>
        <v>#VALUE!</v>
      </c>
      <c r="U8" s="534" t="e">
        <f t="shared" si="5"/>
        <v>#DIV/0!</v>
      </c>
      <c r="V8" s="534" t="e">
        <f t="shared" si="1"/>
        <v>#VALUE!</v>
      </c>
      <c r="W8" s="81" t="e">
        <f t="shared" si="2"/>
        <v>#VALUE!</v>
      </c>
      <c r="X8" s="81" t="e">
        <f>IF($M$4&lt;&gt;-7,(($X$9-$N$4)/($O$9-$M$4))*(O8-$M$4)+$N$4,0.1)</f>
        <v>#VALUE!</v>
      </c>
      <c r="Y8" s="534" t="e">
        <f t="shared" si="6"/>
        <v>#VALUE!</v>
      </c>
      <c r="Z8" s="534" t="e">
        <f t="shared" si="7"/>
        <v>#VALUE!</v>
      </c>
      <c r="AA8" s="534" t="e">
        <f t="shared" si="8"/>
        <v>#VALUE!</v>
      </c>
      <c r="AB8" s="534" t="e">
        <f t="shared" si="9"/>
        <v>#VALUE!</v>
      </c>
      <c r="AC8" s="535" t="e">
        <f t="shared" si="10"/>
        <v>#VALUE!</v>
      </c>
      <c r="AF8" s="80">
        <v>0.35</v>
      </c>
      <c r="AG8" s="80">
        <v>0.12</v>
      </c>
      <c r="AH8" s="80">
        <v>0.27</v>
      </c>
      <c r="AI8" s="80">
        <v>0.42</v>
      </c>
    </row>
    <row r="9" spans="1:35">
      <c r="A9" s="523" t="s">
        <v>469</v>
      </c>
      <c r="B9" s="528" t="s">
        <v>494</v>
      </c>
      <c r="C9" s="80">
        <f>('Meteorological data'!C8-'Meteorological data'!C4)</f>
        <v>0</v>
      </c>
      <c r="D9" s="80">
        <f>('Meteorological data'!C14-'Meteorological data'!C8)</f>
        <v>18</v>
      </c>
      <c r="E9" s="80">
        <f>('Meteorological data'!C20-'Meteorological data'!C14)</f>
        <v>1247</v>
      </c>
      <c r="F9" s="80">
        <f>('Meteorological data'!C25-'Meteorological data'!C20)</f>
        <v>2933</v>
      </c>
      <c r="G9" s="80">
        <f>('Meteorological data'!C51-'Meteorological data'!C25)</f>
        <v>4562</v>
      </c>
      <c r="H9" s="81">
        <f t="shared" si="11"/>
        <v>8760</v>
      </c>
      <c r="J9" s="527"/>
      <c r="K9" s="527"/>
      <c r="M9" s="527"/>
      <c r="O9" s="537">
        <f t="shared" si="3"/>
        <v>-7</v>
      </c>
      <c r="P9" s="538">
        <f>'Meteorological data'!F9</f>
        <v>0</v>
      </c>
      <c r="Q9" s="538">
        <f>'Meteorological data'!G9</f>
        <v>0</v>
      </c>
      <c r="R9" s="539">
        <v>0</v>
      </c>
      <c r="S9" s="540">
        <f t="shared" si="0"/>
        <v>0</v>
      </c>
      <c r="T9" s="540" t="e">
        <f t="shared" si="4"/>
        <v>#VALUE!</v>
      </c>
      <c r="U9" s="540" t="e">
        <f t="shared" si="5"/>
        <v>#DIV/0!</v>
      </c>
      <c r="V9" s="534" t="e">
        <f t="shared" si="1"/>
        <v>#VALUE!</v>
      </c>
      <c r="W9" s="541" t="e">
        <f t="shared" si="2"/>
        <v>#VALUE!</v>
      </c>
      <c r="X9" s="541">
        <f>D41</f>
        <v>0</v>
      </c>
      <c r="Y9" s="540" t="e">
        <f t="shared" si="6"/>
        <v>#VALUE!</v>
      </c>
      <c r="Z9" s="540" t="e">
        <f t="shared" si="7"/>
        <v>#VALUE!</v>
      </c>
      <c r="AA9" s="540" t="e">
        <f t="shared" si="8"/>
        <v>#VALUE!</v>
      </c>
      <c r="AB9" s="540" t="e">
        <f t="shared" si="9"/>
        <v>#VALUE!</v>
      </c>
      <c r="AC9" s="542" t="e">
        <f t="shared" si="10"/>
        <v>#VALUE!</v>
      </c>
      <c r="AF9" s="80">
        <v>0.4</v>
      </c>
      <c r="AG9" s="80">
        <v>0.06</v>
      </c>
      <c r="AH9" s="80">
        <v>0.2</v>
      </c>
      <c r="AI9" s="80">
        <v>0.35</v>
      </c>
    </row>
    <row r="10" spans="1:35">
      <c r="A10" s="523" t="s">
        <v>470</v>
      </c>
      <c r="B10" s="528" t="s">
        <v>495</v>
      </c>
      <c r="C10" s="80">
        <f>C9*((24-$E$112)/24)</f>
        <v>0</v>
      </c>
      <c r="D10" s="80">
        <f>D9*((24-$E$112)/24)</f>
        <v>6</v>
      </c>
      <c r="E10" s="80">
        <f>E9*((24-$E$112)/24)</f>
        <v>415.66666666666663</v>
      </c>
      <c r="F10" s="80">
        <f>F9*((24-$E$112)/24)</f>
        <v>977.66666666666663</v>
      </c>
      <c r="G10" s="80">
        <f>G9*((24-$E$112)/24)</f>
        <v>1520.6666666666665</v>
      </c>
      <c r="H10" s="81">
        <f t="shared" si="11"/>
        <v>2920</v>
      </c>
      <c r="J10" s="527"/>
      <c r="K10" s="523"/>
      <c r="M10" s="523"/>
      <c r="O10" s="531">
        <f t="shared" si="3"/>
        <v>-6</v>
      </c>
      <c r="P10" s="532">
        <f>'Meteorological data'!F10</f>
        <v>0</v>
      </c>
      <c r="Q10" s="532">
        <f>'Meteorological data'!G10</f>
        <v>0</v>
      </c>
      <c r="R10" s="533">
        <v>0</v>
      </c>
      <c r="S10" s="534">
        <f t="shared" si="0"/>
        <v>0</v>
      </c>
      <c r="T10" s="534" t="e">
        <f t="shared" si="4"/>
        <v>#VALUE!</v>
      </c>
      <c r="U10" s="534" t="e">
        <f t="shared" si="5"/>
        <v>#DIV/0!</v>
      </c>
      <c r="V10" s="534" t="e">
        <f t="shared" si="1"/>
        <v>#VALUE!</v>
      </c>
      <c r="W10" s="81" t="e">
        <f t="shared" si="2"/>
        <v>#VALUE!</v>
      </c>
      <c r="X10" s="81">
        <f>(($X$18-$X$9)/($O$18-$O$9))*(O10-$O$9)+$X$9</f>
        <v>0</v>
      </c>
      <c r="Y10" s="534" t="e">
        <f t="shared" si="6"/>
        <v>#VALUE!</v>
      </c>
      <c r="Z10" s="534" t="e">
        <f t="shared" si="7"/>
        <v>#VALUE!</v>
      </c>
      <c r="AA10" s="534" t="e">
        <f t="shared" si="8"/>
        <v>#VALUE!</v>
      </c>
      <c r="AB10" s="534" t="e">
        <f t="shared" si="9"/>
        <v>#VALUE!</v>
      </c>
      <c r="AC10" s="535" t="e">
        <f t="shared" si="10"/>
        <v>#VALUE!</v>
      </c>
      <c r="AF10" s="80">
        <v>0.45</v>
      </c>
      <c r="AG10" s="80">
        <v>0.03</v>
      </c>
      <c r="AH10" s="80">
        <v>0.14000000000000001</v>
      </c>
      <c r="AI10" s="80">
        <v>0.28999999999999998</v>
      </c>
    </row>
    <row r="11" spans="1:35">
      <c r="A11" s="80" t="s">
        <v>496</v>
      </c>
      <c r="B11" s="528" t="s">
        <v>497</v>
      </c>
      <c r="C11" s="81">
        <f>C10/$H$10</f>
        <v>0</v>
      </c>
      <c r="D11" s="81">
        <f>D10/$H$10</f>
        <v>2.054794520547945E-3</v>
      </c>
      <c r="E11" s="81">
        <f>E10/$H$10</f>
        <v>0.14235159817351598</v>
      </c>
      <c r="F11" s="81">
        <f>F10/$H$10</f>
        <v>0.3348173515981735</v>
      </c>
      <c r="G11" s="81">
        <f>G10/$H$10</f>
        <v>0.52077625570776254</v>
      </c>
      <c r="H11" s="81">
        <f t="shared" si="11"/>
        <v>1</v>
      </c>
      <c r="J11" s="82"/>
      <c r="O11" s="531">
        <f t="shared" si="3"/>
        <v>-5</v>
      </c>
      <c r="P11" s="532">
        <f>'Meteorological data'!F11</f>
        <v>0</v>
      </c>
      <c r="Q11" s="532">
        <f>'Meteorological data'!G11</f>
        <v>0</v>
      </c>
      <c r="R11" s="533">
        <v>0</v>
      </c>
      <c r="S11" s="534">
        <f t="shared" si="0"/>
        <v>0</v>
      </c>
      <c r="T11" s="534" t="e">
        <f t="shared" si="4"/>
        <v>#VALUE!</v>
      </c>
      <c r="U11" s="534" t="e">
        <f t="shared" si="5"/>
        <v>#DIV/0!</v>
      </c>
      <c r="V11" s="534" t="e">
        <f t="shared" si="1"/>
        <v>#VALUE!</v>
      </c>
      <c r="W11" s="81" t="e">
        <f t="shared" si="2"/>
        <v>#VALUE!</v>
      </c>
      <c r="X11" s="81">
        <f t="shared" ref="X11:X17" si="12">(($X$18-$X$9)/($O$18-$O$9))*(O11-$O$9)+$X$9</f>
        <v>0</v>
      </c>
      <c r="Y11" s="534" t="e">
        <f t="shared" si="6"/>
        <v>#VALUE!</v>
      </c>
      <c r="Z11" s="534" t="e">
        <f t="shared" si="7"/>
        <v>#VALUE!</v>
      </c>
      <c r="AA11" s="534" t="e">
        <f t="shared" si="8"/>
        <v>#VALUE!</v>
      </c>
      <c r="AB11" s="534" t="e">
        <f t="shared" si="9"/>
        <v>#VALUE!</v>
      </c>
      <c r="AC11" s="535" t="e">
        <f t="shared" si="10"/>
        <v>#VALUE!</v>
      </c>
      <c r="AF11" s="80">
        <v>0.5</v>
      </c>
      <c r="AG11" s="80">
        <v>0.01</v>
      </c>
      <c r="AH11" s="80">
        <v>0.09</v>
      </c>
      <c r="AI11" s="80">
        <v>0.24</v>
      </c>
    </row>
    <row r="12" spans="1:35">
      <c r="A12" s="523" t="s">
        <v>498</v>
      </c>
      <c r="B12" s="528" t="s">
        <v>499</v>
      </c>
      <c r="C12" s="81" t="e">
        <f>IF($E$94="No",$E$135*C11,(($E$135*$E$97/$E$96))*C11)</f>
        <v>#DIV/0!</v>
      </c>
      <c r="D12" s="81" t="e">
        <f>IF($E$94="No",$E$135*D11,(($E$135*$E$97/$E$96))*D11)</f>
        <v>#DIV/0!</v>
      </c>
      <c r="E12" s="81" t="e">
        <f>IF($E$94="No",$E$135*E11,(($E$135*$E$97/$E$96))*E11)</f>
        <v>#DIV/0!</v>
      </c>
      <c r="F12" s="81" t="e">
        <f>IF($E$94="No",$E$135*F11,(($E$135*$E$97/$E$96))*F11)</f>
        <v>#DIV/0!</v>
      </c>
      <c r="G12" s="81" t="e">
        <f>IF($E$94="No",$E$135*G11,(($E$135*$E$97/$E$96))*G11)</f>
        <v>#DIV/0!</v>
      </c>
      <c r="H12" s="81" t="e">
        <f t="shared" si="11"/>
        <v>#DIV/0!</v>
      </c>
      <c r="I12" s="523"/>
      <c r="J12" s="527"/>
      <c r="K12" s="523"/>
      <c r="M12" s="523"/>
      <c r="N12" s="523"/>
      <c r="O12" s="531">
        <f t="shared" si="3"/>
        <v>-4</v>
      </c>
      <c r="P12" s="532">
        <f>'Meteorological data'!F12</f>
        <v>0</v>
      </c>
      <c r="Q12" s="532">
        <f>'Meteorological data'!G12</f>
        <v>0</v>
      </c>
      <c r="R12" s="533">
        <v>0</v>
      </c>
      <c r="S12" s="534">
        <f t="shared" si="0"/>
        <v>0</v>
      </c>
      <c r="T12" s="534" t="e">
        <f t="shared" si="4"/>
        <v>#VALUE!</v>
      </c>
      <c r="U12" s="534" t="e">
        <f t="shared" si="5"/>
        <v>#DIV/0!</v>
      </c>
      <c r="V12" s="534" t="e">
        <f t="shared" si="1"/>
        <v>#VALUE!</v>
      </c>
      <c r="W12" s="81" t="e">
        <f t="shared" si="2"/>
        <v>#VALUE!</v>
      </c>
      <c r="X12" s="81">
        <f t="shared" si="12"/>
        <v>0</v>
      </c>
      <c r="Y12" s="534" t="e">
        <f t="shared" si="6"/>
        <v>#VALUE!</v>
      </c>
      <c r="Z12" s="534" t="e">
        <f t="shared" si="7"/>
        <v>#VALUE!</v>
      </c>
      <c r="AA12" s="534" t="e">
        <f t="shared" si="8"/>
        <v>#VALUE!</v>
      </c>
      <c r="AB12" s="534" t="e">
        <f t="shared" si="9"/>
        <v>#VALUE!</v>
      </c>
      <c r="AC12" s="535" t="e">
        <f t="shared" si="10"/>
        <v>#VALUE!</v>
      </c>
      <c r="AF12" s="80">
        <v>0.55000000000000004</v>
      </c>
      <c r="AG12" s="80">
        <v>0</v>
      </c>
      <c r="AH12" s="80">
        <v>0.06</v>
      </c>
      <c r="AI12" s="80">
        <v>0.19</v>
      </c>
    </row>
    <row r="13" spans="1:35">
      <c r="A13" s="80" t="s">
        <v>23</v>
      </c>
      <c r="B13" s="80" t="s">
        <v>23</v>
      </c>
      <c r="J13" s="527"/>
      <c r="O13" s="531">
        <f t="shared" si="3"/>
        <v>-3</v>
      </c>
      <c r="P13" s="532">
        <f>'Meteorological data'!F13</f>
        <v>1.3629108907339993E-3</v>
      </c>
      <c r="Q13" s="532">
        <f>'Meteorological data'!G13</f>
        <v>4.5662100456621003E-4</v>
      </c>
      <c r="R13" s="533">
        <v>4</v>
      </c>
      <c r="S13" s="534">
        <f t="shared" si="0"/>
        <v>1.3333333333333333</v>
      </c>
      <c r="T13" s="534" t="e">
        <f t="shared" si="4"/>
        <v>#VALUE!</v>
      </c>
      <c r="U13" s="534" t="e">
        <f t="shared" si="5"/>
        <v>#DIV/0!</v>
      </c>
      <c r="V13" s="534" t="e">
        <f t="shared" si="1"/>
        <v>#VALUE!</v>
      </c>
      <c r="W13" s="81" t="e">
        <f t="shared" si="2"/>
        <v>#VALUE!</v>
      </c>
      <c r="X13" s="81">
        <f t="shared" si="12"/>
        <v>0</v>
      </c>
      <c r="Y13" s="534" t="e">
        <f>V13/X13</f>
        <v>#VALUE!</v>
      </c>
      <c r="Z13" s="534" t="e">
        <f>IF((Y13-S13)&lt;0,0,(Y13-S13))</f>
        <v>#VALUE!</v>
      </c>
      <c r="AA13" s="534" t="e">
        <f t="shared" si="8"/>
        <v>#VALUE!</v>
      </c>
      <c r="AB13" s="534" t="e">
        <f t="shared" si="9"/>
        <v>#VALUE!</v>
      </c>
      <c r="AC13" s="535" t="e">
        <f t="shared" si="10"/>
        <v>#VALUE!</v>
      </c>
      <c r="AF13" s="80">
        <v>0.6</v>
      </c>
      <c r="AG13" s="80">
        <v>0</v>
      </c>
      <c r="AH13" s="80">
        <v>0.03</v>
      </c>
      <c r="AI13" s="80">
        <v>0.15</v>
      </c>
    </row>
    <row r="14" spans="1:35">
      <c r="A14" s="524" t="s">
        <v>500</v>
      </c>
      <c r="C14" s="81" t="str">
        <f>E101</f>
        <v xml:space="preserve"> </v>
      </c>
      <c r="D14" s="80">
        <v>-7</v>
      </c>
      <c r="E14" s="80">
        <v>2</v>
      </c>
      <c r="F14" s="80">
        <v>7</v>
      </c>
      <c r="G14" s="80">
        <v>12</v>
      </c>
      <c r="J14" s="527"/>
      <c r="O14" s="531">
        <f t="shared" si="3"/>
        <v>-2</v>
      </c>
      <c r="P14" s="532">
        <f>'Meteorological data'!F14</f>
        <v>4.5191255850653657E-3</v>
      </c>
      <c r="Q14" s="532">
        <f>'Meteorological data'!G14</f>
        <v>1.5981735159817352E-3</v>
      </c>
      <c r="R14" s="533">
        <v>14</v>
      </c>
      <c r="S14" s="534">
        <f t="shared" si="0"/>
        <v>4.6666666666666661</v>
      </c>
      <c r="T14" s="534" t="e">
        <f t="shared" si="4"/>
        <v>#VALUE!</v>
      </c>
      <c r="U14" s="534" t="e">
        <f>$U$1*Q14</f>
        <v>#DIV/0!</v>
      </c>
      <c r="V14" s="534" t="e">
        <f t="shared" si="1"/>
        <v>#VALUE!</v>
      </c>
      <c r="W14" s="81" t="e">
        <f t="shared" si="2"/>
        <v>#VALUE!</v>
      </c>
      <c r="X14" s="81">
        <f t="shared" si="12"/>
        <v>0</v>
      </c>
      <c r="Y14" s="534" t="e">
        <f>V14/X14</f>
        <v>#VALUE!</v>
      </c>
      <c r="Z14" s="534" t="e">
        <f>IF((Y14-S14)&lt;0,0,(Y14-S14))</f>
        <v>#VALUE!</v>
      </c>
      <c r="AA14" s="534" t="e">
        <f t="shared" si="8"/>
        <v>#VALUE!</v>
      </c>
      <c r="AB14" s="534" t="e">
        <f t="shared" si="9"/>
        <v>#VALUE!</v>
      </c>
      <c r="AC14" s="535" t="e">
        <f t="shared" si="10"/>
        <v>#VALUE!</v>
      </c>
      <c r="AF14" s="80">
        <v>0.65</v>
      </c>
      <c r="AG14" s="80">
        <v>0</v>
      </c>
      <c r="AH14" s="80">
        <v>0.02</v>
      </c>
      <c r="AI14" s="80">
        <v>0.11</v>
      </c>
    </row>
    <row r="15" spans="1:35" ht="15.75">
      <c r="A15" s="543" t="str">
        <f>$E119&amp;" (oC)"</f>
        <v>Low Temperature (oC)</v>
      </c>
      <c r="B15" s="544" t="str">
        <f>"Based on test data according to "&amp;$E$100</f>
        <v>Based on test data according to I.S. EN 14825</v>
      </c>
      <c r="C15" s="545">
        <f>IF($E$128="Yes",IF($E$99="Variable Outlet",35,35),0)</f>
        <v>0</v>
      </c>
      <c r="D15" s="545">
        <f>IF($E$128="Yes",IF($E$99="Variable Outlet",34,35),0)</f>
        <v>0</v>
      </c>
      <c r="E15" s="545">
        <f>IF($E$128="Yes",IF($E$99="Variable Outlet",30,35),0)</f>
        <v>0</v>
      </c>
      <c r="F15" s="545">
        <f>IF($E$128="Yes",IF($E$99="Variable Outlet",27,35),0)</f>
        <v>0</v>
      </c>
      <c r="G15" s="546">
        <f>IF($E$128="Yes",IF($E$99="Variable Outlet",24,35),0)</f>
        <v>0</v>
      </c>
      <c r="I15" s="38"/>
      <c r="J15" s="527"/>
      <c r="K15" s="523"/>
      <c r="M15" s="523"/>
      <c r="O15" s="531">
        <f t="shared" si="3"/>
        <v>-1</v>
      </c>
      <c r="P15" s="532">
        <f>'Meteorological data'!F15</f>
        <v>1.3413912450908309E-2</v>
      </c>
      <c r="Q15" s="532">
        <f>'Meteorological data'!G15</f>
        <v>5.0228310502283104E-3</v>
      </c>
      <c r="R15" s="533">
        <v>44</v>
      </c>
      <c r="S15" s="534">
        <f t="shared" si="0"/>
        <v>14.666666666666666</v>
      </c>
      <c r="T15" s="534" t="e">
        <f t="shared" si="4"/>
        <v>#VALUE!</v>
      </c>
      <c r="U15" s="534" t="e">
        <f t="shared" si="5"/>
        <v>#DIV/0!</v>
      </c>
      <c r="V15" s="534" t="e">
        <f t="shared" si="1"/>
        <v>#VALUE!</v>
      </c>
      <c r="W15" s="81" t="e">
        <f t="shared" si="2"/>
        <v>#VALUE!</v>
      </c>
      <c r="X15" s="81">
        <f t="shared" si="12"/>
        <v>0</v>
      </c>
      <c r="Y15" s="534" t="e">
        <f t="shared" si="6"/>
        <v>#VALUE!</v>
      </c>
      <c r="Z15" s="534" t="e">
        <f>IF((Y15-S15)&lt;0,0,(Y15-S15))</f>
        <v>#VALUE!</v>
      </c>
      <c r="AA15" s="534" t="e">
        <f t="shared" si="8"/>
        <v>#VALUE!</v>
      </c>
      <c r="AB15" s="534" t="e">
        <f t="shared" si="9"/>
        <v>#VALUE!</v>
      </c>
      <c r="AC15" s="535" t="e">
        <f t="shared" si="10"/>
        <v>#VALUE!</v>
      </c>
      <c r="AF15" s="80">
        <v>0.7</v>
      </c>
      <c r="AG15" s="80">
        <v>0</v>
      </c>
      <c r="AH15" s="80">
        <v>0.01</v>
      </c>
      <c r="AI15" s="80">
        <v>0.09</v>
      </c>
    </row>
    <row r="16" spans="1:35" ht="15.75">
      <c r="A16" s="528" t="str">
        <f t="shared" ref="A16:A18" si="13">$E120&amp;" (oC)"</f>
        <v>Medium Temperature (oC)</v>
      </c>
      <c r="B16" s="547" t="str">
        <f>$B$15</f>
        <v>Based on test data according to I.S. EN 14825</v>
      </c>
      <c r="C16" s="548">
        <f>IF($E$129="Yes",IF($E$99="Variable Outlet",45,45),0)</f>
        <v>0</v>
      </c>
      <c r="D16" s="548">
        <f>IF($E$129="Yes",IF($E$99="Variable Outlet",43,45),0)</f>
        <v>0</v>
      </c>
      <c r="E16" s="548">
        <f>IF($E$129="Yes",IF($E$99="Variable Outlet",37,45),0)</f>
        <v>0</v>
      </c>
      <c r="F16" s="548">
        <f>IF($E$129="Yes",IF($E$99="Variable Outlet",33,45),0)</f>
        <v>0</v>
      </c>
      <c r="G16" s="549">
        <f>IF($E$129="Yes",IF($E$99="Variable Outlet",28,45),0)</f>
        <v>0</v>
      </c>
      <c r="I16" s="38"/>
      <c r="J16" s="527"/>
      <c r="O16" s="531">
        <f t="shared" si="3"/>
        <v>0</v>
      </c>
      <c r="P16" s="532">
        <f>'Meteorological data'!F16</f>
        <v>3.2136004160464825E-2</v>
      </c>
      <c r="Q16" s="532">
        <f>'Meteorological data'!G16</f>
        <v>1.2785388127853882E-2</v>
      </c>
      <c r="R16" s="533">
        <v>112</v>
      </c>
      <c r="S16" s="534">
        <f t="shared" si="0"/>
        <v>37.333333333333329</v>
      </c>
      <c r="T16" s="534" t="e">
        <f t="shared" si="4"/>
        <v>#VALUE!</v>
      </c>
      <c r="U16" s="534" t="e">
        <f>$U$1*Q16</f>
        <v>#DIV/0!</v>
      </c>
      <c r="V16" s="534" t="e">
        <f t="shared" si="1"/>
        <v>#VALUE!</v>
      </c>
      <c r="W16" s="81" t="e">
        <f t="shared" si="2"/>
        <v>#VALUE!</v>
      </c>
      <c r="X16" s="81">
        <f t="shared" si="12"/>
        <v>0</v>
      </c>
      <c r="Y16" s="534" t="e">
        <f>V16/X16</f>
        <v>#VALUE!</v>
      </c>
      <c r="Z16" s="534" t="e">
        <f>IF((Y16-S16)&lt;0,0,(Y16-S16))</f>
        <v>#VALUE!</v>
      </c>
      <c r="AA16" s="534" t="e">
        <f t="shared" si="8"/>
        <v>#VALUE!</v>
      </c>
      <c r="AB16" s="534" t="e">
        <f t="shared" si="9"/>
        <v>#VALUE!</v>
      </c>
      <c r="AC16" s="535" t="e">
        <f t="shared" si="10"/>
        <v>#VALUE!</v>
      </c>
      <c r="AF16" s="80">
        <v>0.75</v>
      </c>
      <c r="AG16" s="80">
        <v>0</v>
      </c>
      <c r="AH16" s="80">
        <v>0</v>
      </c>
      <c r="AI16" s="80">
        <v>0.05</v>
      </c>
    </row>
    <row r="17" spans="1:35" ht="27.75" customHeight="1">
      <c r="A17" s="528" t="str">
        <f t="shared" si="13"/>
        <v>High Temperature (oC)</v>
      </c>
      <c r="B17" s="547" t="str">
        <f>$B$15</f>
        <v>Based on test data according to I.S. EN 14825</v>
      </c>
      <c r="C17" s="548">
        <f>IF($E$127="Yes",IF($E$99="Variable Outlet",55,55),0)</f>
        <v>55</v>
      </c>
      <c r="D17" s="548">
        <f>IF($E$127="Yes",IF($E$99="Variable Outlet",52,55),0)</f>
        <v>55</v>
      </c>
      <c r="E17" s="548">
        <f>IF($E$127="Yes",IF($E$99="Variable Outlet",42,55),0)</f>
        <v>55</v>
      </c>
      <c r="F17" s="548">
        <f>IF($E$127="Yes",IF($E$99="Variable Outlet",36,55),0)</f>
        <v>55</v>
      </c>
      <c r="G17" s="549">
        <f>IF($E$127="Yes",IF($E$99="Variable Outlet",30,55),0)</f>
        <v>55</v>
      </c>
      <c r="I17" s="38" t="s">
        <v>501</v>
      </c>
      <c r="J17" s="527"/>
      <c r="O17" s="531">
        <f t="shared" si="3"/>
        <v>1</v>
      </c>
      <c r="P17" s="532">
        <f>'Meteorological data'!F17</f>
        <v>3.927335329878235E-2</v>
      </c>
      <c r="Q17" s="532">
        <f>'Meteorological data'!G17</f>
        <v>1.6666666666666666E-2</v>
      </c>
      <c r="R17" s="533">
        <v>146</v>
      </c>
      <c r="S17" s="534">
        <f t="shared" si="0"/>
        <v>48.666666666666664</v>
      </c>
      <c r="T17" s="534" t="e">
        <f t="shared" si="4"/>
        <v>#VALUE!</v>
      </c>
      <c r="U17" s="534" t="e">
        <f t="shared" si="5"/>
        <v>#DIV/0!</v>
      </c>
      <c r="V17" s="534" t="e">
        <f t="shared" si="1"/>
        <v>#VALUE!</v>
      </c>
      <c r="W17" s="81" t="e">
        <f t="shared" si="2"/>
        <v>#VALUE!</v>
      </c>
      <c r="X17" s="81">
        <f t="shared" si="12"/>
        <v>0</v>
      </c>
      <c r="Y17" s="534" t="e">
        <f t="shared" ref="Y17:Y31" si="14">V17/X17</f>
        <v>#VALUE!</v>
      </c>
      <c r="Z17" s="534" t="e">
        <f>IF((Y17-S17)&lt;0,0,(Y17-S17))</f>
        <v>#VALUE!</v>
      </c>
      <c r="AA17" s="534" t="e">
        <f t="shared" si="8"/>
        <v>#VALUE!</v>
      </c>
      <c r="AB17" s="534" t="e">
        <f t="shared" si="9"/>
        <v>#VALUE!</v>
      </c>
      <c r="AC17" s="535" t="e">
        <f t="shared" si="10"/>
        <v>#VALUE!</v>
      </c>
      <c r="AF17" s="80">
        <v>0.8</v>
      </c>
      <c r="AG17" s="80">
        <v>0</v>
      </c>
      <c r="AH17" s="80">
        <v>0</v>
      </c>
      <c r="AI17" s="80">
        <v>0.05</v>
      </c>
    </row>
    <row r="18" spans="1:35" ht="15.75">
      <c r="A18" s="550" t="str">
        <f t="shared" si="13"/>
        <v>Very high Temperature (oC)</v>
      </c>
      <c r="B18" s="547" t="str">
        <f>$B$15</f>
        <v>Based on test data according to I.S. EN 14825</v>
      </c>
      <c r="C18" s="551">
        <f>IF($E$130="Yes",65,0)</f>
        <v>0</v>
      </c>
      <c r="D18" s="551">
        <f>IF($E$130="Yes",IF($E$99="Variable Outlet",61,65),0)</f>
        <v>0</v>
      </c>
      <c r="E18" s="551">
        <f>IF($E$130="Yes",IF($E$99="Variable Outlet",49,65),0)</f>
        <v>0</v>
      </c>
      <c r="F18" s="551">
        <f>IF($E$130="Yes",IF($E$99="Variable Outlet",41,65),0)</f>
        <v>0</v>
      </c>
      <c r="G18" s="552">
        <f>IF($E$130="Yes",IF($E$99="Variable Outlet",32,65),0)</f>
        <v>0</v>
      </c>
      <c r="I18" s="39"/>
      <c r="J18" s="527"/>
      <c r="K18" s="523"/>
      <c r="M18" s="523"/>
      <c r="O18" s="537">
        <f t="shared" si="3"/>
        <v>2</v>
      </c>
      <c r="P18" s="538">
        <f>'Meteorological data'!F18</f>
        <v>5.5735882215806179E-2</v>
      </c>
      <c r="Q18" s="538">
        <f>'Meteorological data'!G18</f>
        <v>2.5342465753424658E-2</v>
      </c>
      <c r="R18" s="539">
        <v>222</v>
      </c>
      <c r="S18" s="540">
        <f t="shared" si="0"/>
        <v>74</v>
      </c>
      <c r="T18" s="540" t="e">
        <f t="shared" si="4"/>
        <v>#VALUE!</v>
      </c>
      <c r="U18" s="540" t="e">
        <f t="shared" si="5"/>
        <v>#DIV/0!</v>
      </c>
      <c r="V18" s="534" t="e">
        <f t="shared" si="1"/>
        <v>#VALUE!</v>
      </c>
      <c r="W18" s="541" t="e">
        <f t="shared" si="2"/>
        <v>#VALUE!</v>
      </c>
      <c r="X18" s="541">
        <f>E41</f>
        <v>0</v>
      </c>
      <c r="Y18" s="540" t="e">
        <f>V18/X18</f>
        <v>#VALUE!</v>
      </c>
      <c r="Z18" s="540" t="e">
        <f t="shared" si="7"/>
        <v>#VALUE!</v>
      </c>
      <c r="AA18" s="540" t="e">
        <f t="shared" si="8"/>
        <v>#VALUE!</v>
      </c>
      <c r="AB18" s="534" t="e">
        <f t="shared" si="9"/>
        <v>#VALUE!</v>
      </c>
      <c r="AC18" s="535" t="e">
        <f t="shared" si="10"/>
        <v>#VALUE!</v>
      </c>
      <c r="AF18" s="80">
        <v>0.85</v>
      </c>
      <c r="AG18" s="80">
        <v>0</v>
      </c>
      <c r="AH18" s="80">
        <v>0</v>
      </c>
      <c r="AI18" s="80">
        <v>0.03</v>
      </c>
    </row>
    <row r="19" spans="1:35" ht="15.75">
      <c r="A19" s="543" t="str">
        <f>$E119&amp;" COP  (kW/kW)"</f>
        <v>Low Temperature COP  (kW/kW)</v>
      </c>
      <c r="B19" s="544" t="str">
        <f t="shared" ref="B19:B26" si="15">$B$15</f>
        <v>Based on test data according to I.S. EN 14825</v>
      </c>
      <c r="C19" s="553">
        <f>INDEX($C$154:$G$161,MATCH($A19,$A$154:$A$161,0),MATCH(C$27,$C$152:$G$152,0))</f>
        <v>0</v>
      </c>
      <c r="D19" s="553">
        <f t="shared" ref="D19:G26" si="16">INDEX($C$154:$G$161,MATCH($A19,$A$154:$A$161,0),MATCH(D$27,$C$152:$G$152,0))</f>
        <v>0</v>
      </c>
      <c r="E19" s="553">
        <f t="shared" si="16"/>
        <v>0</v>
      </c>
      <c r="F19" s="553">
        <f t="shared" si="16"/>
        <v>0</v>
      </c>
      <c r="G19" s="554">
        <f t="shared" si="16"/>
        <v>0</v>
      </c>
      <c r="I19" s="38" t="s">
        <v>502</v>
      </c>
      <c r="J19" s="527"/>
      <c r="K19" s="523"/>
      <c r="M19" s="523"/>
      <c r="O19" s="531">
        <f t="shared" si="3"/>
        <v>3</v>
      </c>
      <c r="P19" s="532">
        <f>'Meteorological data'!F19</f>
        <v>7.5300826713053465E-2</v>
      </c>
      <c r="Q19" s="532">
        <f>'Meteorological data'!G19</f>
        <v>3.6872146118721458E-2</v>
      </c>
      <c r="R19" s="533">
        <v>323</v>
      </c>
      <c r="S19" s="534">
        <f t="shared" si="0"/>
        <v>107.66666666666666</v>
      </c>
      <c r="T19" s="534" t="e">
        <f t="shared" si="4"/>
        <v>#VALUE!</v>
      </c>
      <c r="U19" s="534" t="e">
        <f t="shared" si="5"/>
        <v>#DIV/0!</v>
      </c>
      <c r="V19" s="534" t="e">
        <f t="shared" si="1"/>
        <v>#VALUE!</v>
      </c>
      <c r="W19" s="81" t="e">
        <f t="shared" si="2"/>
        <v>#VALUE!</v>
      </c>
      <c r="X19" s="81">
        <f>(($X$23-$X$18)/($O$23-$O$18))*(O19-$O$18)+$X$18</f>
        <v>0</v>
      </c>
      <c r="Y19" s="534" t="e">
        <f>V19/X19</f>
        <v>#VALUE!</v>
      </c>
      <c r="Z19" s="534" t="e">
        <f>IF((Y19-S19)&lt;0,0,(Y19-S19))</f>
        <v>#VALUE!</v>
      </c>
      <c r="AA19" s="534" t="e">
        <f t="shared" si="8"/>
        <v>#VALUE!</v>
      </c>
      <c r="AB19" s="534" t="e">
        <f t="shared" si="9"/>
        <v>#VALUE!</v>
      </c>
      <c r="AC19" s="535" t="e">
        <f t="shared" si="10"/>
        <v>#VALUE!</v>
      </c>
      <c r="AF19" s="80">
        <v>0.9</v>
      </c>
      <c r="AG19" s="80">
        <v>0</v>
      </c>
      <c r="AH19" s="80">
        <v>0</v>
      </c>
      <c r="AI19" s="80">
        <v>0.02</v>
      </c>
    </row>
    <row r="20" spans="1:35" ht="15.75">
      <c r="A20" s="528" t="str">
        <f t="shared" ref="A20:A22" si="17">$E120&amp;" COP  (kW/kW)"</f>
        <v>Medium Temperature COP  (kW/kW)</v>
      </c>
      <c r="B20" s="547" t="str">
        <f t="shared" si="15"/>
        <v>Based on test data according to I.S. EN 14825</v>
      </c>
      <c r="C20" s="81">
        <f t="shared" ref="C20:C26" si="18">INDEX($C$154:$G$161,MATCH($A20,$A$154:$A$161,0),MATCH(C$27,$C$152:$G$152,0))</f>
        <v>0</v>
      </c>
      <c r="D20" s="81">
        <f t="shared" si="16"/>
        <v>0</v>
      </c>
      <c r="E20" s="81">
        <f t="shared" si="16"/>
        <v>0</v>
      </c>
      <c r="F20" s="81">
        <f t="shared" si="16"/>
        <v>0</v>
      </c>
      <c r="G20" s="555">
        <f t="shared" si="16"/>
        <v>0</v>
      </c>
      <c r="I20" s="38" t="s">
        <v>502</v>
      </c>
      <c r="J20" s="527"/>
      <c r="O20" s="531">
        <f t="shared" si="3"/>
        <v>4</v>
      </c>
      <c r="P20" s="532">
        <f>'Meteorological data'!F20</f>
        <v>8.6078582572673631E-2</v>
      </c>
      <c r="Q20" s="532">
        <f>'Meteorological data'!G20</f>
        <v>4.5662100456621002E-2</v>
      </c>
      <c r="R20" s="533">
        <v>400</v>
      </c>
      <c r="S20" s="534">
        <f t="shared" si="0"/>
        <v>133.33333333333331</v>
      </c>
      <c r="T20" s="534" t="e">
        <f t="shared" si="4"/>
        <v>#VALUE!</v>
      </c>
      <c r="U20" s="534" t="e">
        <f t="shared" si="5"/>
        <v>#DIV/0!</v>
      </c>
      <c r="V20" s="534" t="e">
        <f t="shared" si="1"/>
        <v>#VALUE!</v>
      </c>
      <c r="W20" s="81" t="e">
        <f t="shared" si="2"/>
        <v>#VALUE!</v>
      </c>
      <c r="X20" s="81">
        <f t="shared" ref="X20:X22" si="19">(($X$23-$X$18)/($O$23-$O$18))*(O20-$O$18)+$X$18</f>
        <v>0</v>
      </c>
      <c r="Y20" s="534" t="e">
        <f t="shared" si="14"/>
        <v>#VALUE!</v>
      </c>
      <c r="Z20" s="534" t="e">
        <f t="shared" si="7"/>
        <v>#VALUE!</v>
      </c>
      <c r="AA20" s="534" t="e">
        <f t="shared" si="8"/>
        <v>#VALUE!</v>
      </c>
      <c r="AB20" s="534" t="e">
        <f t="shared" si="9"/>
        <v>#VALUE!</v>
      </c>
      <c r="AC20" s="535" t="e">
        <f t="shared" si="10"/>
        <v>#VALUE!</v>
      </c>
      <c r="AF20" s="80">
        <v>0.95</v>
      </c>
      <c r="AG20" s="80">
        <v>0</v>
      </c>
      <c r="AH20" s="80">
        <v>0</v>
      </c>
      <c r="AI20" s="80">
        <v>0.01</v>
      </c>
    </row>
    <row r="21" spans="1:35" ht="15.75">
      <c r="A21" s="528" t="str">
        <f t="shared" si="17"/>
        <v>High Temperature COP  (kW/kW)</v>
      </c>
      <c r="B21" s="547" t="str">
        <f t="shared" si="15"/>
        <v>Based on test data according to I.S. EN 14825</v>
      </c>
      <c r="C21" s="81">
        <f t="shared" si="18"/>
        <v>0</v>
      </c>
      <c r="D21" s="81">
        <f t="shared" si="16"/>
        <v>0</v>
      </c>
      <c r="E21" s="81">
        <f t="shared" si="16"/>
        <v>0</v>
      </c>
      <c r="F21" s="81">
        <f t="shared" si="16"/>
        <v>0</v>
      </c>
      <c r="G21" s="555">
        <f t="shared" si="16"/>
        <v>0</v>
      </c>
      <c r="I21" s="38" t="s">
        <v>502</v>
      </c>
      <c r="J21" s="527"/>
      <c r="O21" s="531">
        <f t="shared" si="3"/>
        <v>5</v>
      </c>
      <c r="P21" s="532">
        <f>'Meteorological data'!F21</f>
        <v>8.7979484604486846E-2</v>
      </c>
      <c r="Q21" s="532">
        <f>'Meteorological data'!G21</f>
        <v>5.0913242009132421E-2</v>
      </c>
      <c r="R21" s="533">
        <v>446</v>
      </c>
      <c r="S21" s="534">
        <f t="shared" si="0"/>
        <v>148.66666666666666</v>
      </c>
      <c r="T21" s="534" t="e">
        <f t="shared" si="4"/>
        <v>#VALUE!</v>
      </c>
      <c r="U21" s="534" t="e">
        <f t="shared" si="5"/>
        <v>#DIV/0!</v>
      </c>
      <c r="V21" s="534" t="e">
        <f t="shared" si="1"/>
        <v>#VALUE!</v>
      </c>
      <c r="W21" s="81" t="e">
        <f t="shared" si="2"/>
        <v>#VALUE!</v>
      </c>
      <c r="X21" s="81">
        <f t="shared" si="19"/>
        <v>0</v>
      </c>
      <c r="Y21" s="534" t="e">
        <f t="shared" si="14"/>
        <v>#VALUE!</v>
      </c>
      <c r="Z21" s="534" t="e">
        <f t="shared" si="7"/>
        <v>#VALUE!</v>
      </c>
      <c r="AA21" s="534" t="e">
        <f t="shared" si="8"/>
        <v>#VALUE!</v>
      </c>
      <c r="AB21" s="534" t="e">
        <f t="shared" si="9"/>
        <v>#VALUE!</v>
      </c>
      <c r="AC21" s="535" t="e">
        <f t="shared" si="10"/>
        <v>#VALUE!</v>
      </c>
      <c r="AF21" s="80">
        <v>1</v>
      </c>
      <c r="AG21" s="80">
        <v>0</v>
      </c>
      <c r="AH21" s="80">
        <v>0</v>
      </c>
      <c r="AI21" s="80">
        <v>0.01</v>
      </c>
    </row>
    <row r="22" spans="1:35" ht="15.75">
      <c r="A22" s="550" t="str">
        <f t="shared" si="17"/>
        <v>Very high Temperature COP  (kW/kW)</v>
      </c>
      <c r="B22" s="547" t="str">
        <f t="shared" si="15"/>
        <v>Based on test data according to I.S. EN 14825</v>
      </c>
      <c r="C22" s="556">
        <f t="shared" si="18"/>
        <v>0</v>
      </c>
      <c r="D22" s="556">
        <f t="shared" si="16"/>
        <v>0</v>
      </c>
      <c r="E22" s="556">
        <f t="shared" si="16"/>
        <v>0</v>
      </c>
      <c r="F22" s="556">
        <f t="shared" si="16"/>
        <v>0</v>
      </c>
      <c r="G22" s="557">
        <f t="shared" si="16"/>
        <v>0</v>
      </c>
      <c r="I22" s="38" t="s">
        <v>502</v>
      </c>
      <c r="J22" s="527"/>
      <c r="O22" s="531">
        <f t="shared" si="3"/>
        <v>6</v>
      </c>
      <c r="P22" s="532">
        <f>'Meteorological data'!F22</f>
        <v>9.7735057296056527E-2</v>
      </c>
      <c r="Q22" s="532">
        <f>'Meteorological data'!G22</f>
        <v>6.2214611872146115E-2</v>
      </c>
      <c r="R22" s="533">
        <v>545</v>
      </c>
      <c r="S22" s="534">
        <f t="shared" si="0"/>
        <v>181.66666666666666</v>
      </c>
      <c r="T22" s="534" t="e">
        <f t="shared" si="4"/>
        <v>#VALUE!</v>
      </c>
      <c r="U22" s="534" t="e">
        <f t="shared" si="5"/>
        <v>#DIV/0!</v>
      </c>
      <c r="V22" s="534" t="e">
        <f t="shared" si="1"/>
        <v>#VALUE!</v>
      </c>
      <c r="W22" s="81" t="e">
        <f t="shared" si="2"/>
        <v>#VALUE!</v>
      </c>
      <c r="X22" s="81">
        <f t="shared" si="19"/>
        <v>0</v>
      </c>
      <c r="Y22" s="534" t="e">
        <f t="shared" si="14"/>
        <v>#VALUE!</v>
      </c>
      <c r="Z22" s="534" t="e">
        <f t="shared" si="7"/>
        <v>#VALUE!</v>
      </c>
      <c r="AA22" s="534" t="e">
        <f t="shared" si="8"/>
        <v>#VALUE!</v>
      </c>
      <c r="AB22" s="534" t="e">
        <f t="shared" si="9"/>
        <v>#VALUE!</v>
      </c>
      <c r="AC22" s="535" t="e">
        <f t="shared" si="10"/>
        <v>#VALUE!</v>
      </c>
      <c r="AF22" s="80">
        <v>1.05</v>
      </c>
      <c r="AG22" s="80">
        <v>0</v>
      </c>
      <c r="AH22" s="80">
        <v>0</v>
      </c>
      <c r="AI22" s="80">
        <v>0</v>
      </c>
    </row>
    <row r="23" spans="1:35" ht="15.75">
      <c r="A23" s="543" t="str">
        <f>$E119&amp;" Heating Capacity (kW)"</f>
        <v>Low Temperature Heating Capacity (kW)</v>
      </c>
      <c r="B23" s="544" t="str">
        <f t="shared" si="15"/>
        <v>Based on test data according to I.S. EN 14825</v>
      </c>
      <c r="C23" s="553">
        <f t="shared" si="18"/>
        <v>0</v>
      </c>
      <c r="D23" s="553">
        <f t="shared" si="16"/>
        <v>0</v>
      </c>
      <c r="E23" s="553">
        <f t="shared" si="16"/>
        <v>0</v>
      </c>
      <c r="F23" s="553">
        <f t="shared" si="16"/>
        <v>0</v>
      </c>
      <c r="G23" s="554">
        <f t="shared" si="16"/>
        <v>0</v>
      </c>
      <c r="I23" s="38" t="s">
        <v>503</v>
      </c>
      <c r="J23" s="527"/>
      <c r="K23" s="523"/>
      <c r="M23" s="523"/>
      <c r="O23" s="537">
        <f t="shared" si="3"/>
        <v>7</v>
      </c>
      <c r="P23" s="538">
        <f>'Meteorological data'!F23</f>
        <v>9.7322597421229132E-2</v>
      </c>
      <c r="Q23" s="538">
        <f>'Meteorological data'!G23</f>
        <v>6.8835616438356159E-2</v>
      </c>
      <c r="R23" s="539">
        <v>603</v>
      </c>
      <c r="S23" s="540">
        <f t="shared" si="0"/>
        <v>201</v>
      </c>
      <c r="T23" s="540" t="e">
        <f t="shared" si="4"/>
        <v>#VALUE!</v>
      </c>
      <c r="U23" s="540" t="e">
        <f t="shared" si="5"/>
        <v>#DIV/0!</v>
      </c>
      <c r="V23" s="534" t="e">
        <f t="shared" si="1"/>
        <v>#VALUE!</v>
      </c>
      <c r="W23" s="541" t="e">
        <f t="shared" si="2"/>
        <v>#VALUE!</v>
      </c>
      <c r="X23" s="541">
        <f>F41</f>
        <v>0</v>
      </c>
      <c r="Y23" s="540" t="e">
        <f t="shared" si="14"/>
        <v>#VALUE!</v>
      </c>
      <c r="Z23" s="540" t="e">
        <f t="shared" si="7"/>
        <v>#VALUE!</v>
      </c>
      <c r="AA23" s="540" t="e">
        <f t="shared" si="8"/>
        <v>#VALUE!</v>
      </c>
      <c r="AB23" s="540" t="e">
        <f t="shared" si="9"/>
        <v>#VALUE!</v>
      </c>
      <c r="AC23" s="542" t="e">
        <f t="shared" si="10"/>
        <v>#VALUE!</v>
      </c>
    </row>
    <row r="24" spans="1:35" ht="15.75">
      <c r="A24" s="528" t="str">
        <f t="shared" ref="A24:A26" si="20">$E120&amp;" Heating Capacity (kW)"</f>
        <v>Medium Temperature Heating Capacity (kW)</v>
      </c>
      <c r="B24" s="547" t="str">
        <f t="shared" si="15"/>
        <v>Based on test data according to I.S. EN 14825</v>
      </c>
      <c r="C24" s="81">
        <f t="shared" si="18"/>
        <v>0</v>
      </c>
      <c r="D24" s="81">
        <f t="shared" si="16"/>
        <v>0</v>
      </c>
      <c r="E24" s="81">
        <f t="shared" si="16"/>
        <v>0</v>
      </c>
      <c r="F24" s="81">
        <f t="shared" si="16"/>
        <v>0</v>
      </c>
      <c r="G24" s="555">
        <f t="shared" si="16"/>
        <v>0</v>
      </c>
      <c r="I24" s="38" t="s">
        <v>503</v>
      </c>
      <c r="J24" s="527"/>
      <c r="K24" s="523"/>
      <c r="M24" s="523"/>
      <c r="O24" s="531">
        <f t="shared" si="3"/>
        <v>8</v>
      </c>
      <c r="P24" s="532">
        <f>'Meteorological data'!F24</f>
        <v>9.4399512221365417E-2</v>
      </c>
      <c r="Q24" s="532">
        <f>'Meteorological data'!G24</f>
        <v>7.5114155251141554E-2</v>
      </c>
      <c r="R24" s="533">
        <v>658</v>
      </c>
      <c r="S24" s="534">
        <f t="shared" si="0"/>
        <v>219.33333333333331</v>
      </c>
      <c r="T24" s="534" t="e">
        <f t="shared" si="4"/>
        <v>#VALUE!</v>
      </c>
      <c r="U24" s="534" t="e">
        <f t="shared" si="5"/>
        <v>#DIV/0!</v>
      </c>
      <c r="V24" s="534" t="e">
        <f t="shared" si="1"/>
        <v>#VALUE!</v>
      </c>
      <c r="W24" s="81" t="e">
        <f t="shared" si="2"/>
        <v>#VALUE!</v>
      </c>
      <c r="X24" s="81">
        <f>(($X$28-$X$23)/($O$28-$O$23))*(O24-$O$23)+$X$23</f>
        <v>0</v>
      </c>
      <c r="Y24" s="534" t="e">
        <f t="shared" si="14"/>
        <v>#VALUE!</v>
      </c>
      <c r="Z24" s="534" t="e">
        <f t="shared" si="7"/>
        <v>#VALUE!</v>
      </c>
      <c r="AA24" s="534" t="e">
        <f t="shared" si="8"/>
        <v>#VALUE!</v>
      </c>
      <c r="AB24" s="534" t="e">
        <f t="shared" si="9"/>
        <v>#VALUE!</v>
      </c>
      <c r="AC24" s="535" t="e">
        <f t="shared" si="10"/>
        <v>#VALUE!</v>
      </c>
      <c r="AG24" s="532" t="e">
        <f>IF($J$47&lt;0.5,3.9048*$J$47^2-4.018*$J$47+1.045,0)</f>
        <v>#VALUE!</v>
      </c>
      <c r="AH24" s="532" t="e">
        <f>IF($J$47&lt;0.7,2.0699*$J$47^2-2.8993*$J$47+1.0265,0)</f>
        <v>#VALUE!</v>
      </c>
      <c r="AI24" s="532" t="e">
        <f>IF($J$47&lt;1,1.1182*$J$47^2-2.1276*$J$47+1.0252,0)</f>
        <v>#VALUE!</v>
      </c>
    </row>
    <row r="25" spans="1:35" ht="15.75">
      <c r="A25" s="528" t="str">
        <f t="shared" si="20"/>
        <v>High Temperature Heating Capacity (kW)</v>
      </c>
      <c r="B25" s="547" t="str">
        <f t="shared" si="15"/>
        <v>Based on test data according to I.S. EN 14825</v>
      </c>
      <c r="C25" s="81">
        <f t="shared" si="18"/>
        <v>0</v>
      </c>
      <c r="D25" s="81">
        <f t="shared" si="16"/>
        <v>0</v>
      </c>
      <c r="E25" s="81">
        <f t="shared" si="16"/>
        <v>0</v>
      </c>
      <c r="F25" s="81">
        <f t="shared" si="16"/>
        <v>0</v>
      </c>
      <c r="G25" s="555">
        <f t="shared" si="16"/>
        <v>0</v>
      </c>
      <c r="I25" s="38" t="s">
        <v>503</v>
      </c>
      <c r="J25" s="527"/>
      <c r="K25" s="523"/>
      <c r="M25" s="523"/>
      <c r="O25" s="531">
        <f t="shared" si="3"/>
        <v>9</v>
      </c>
      <c r="P25" s="532">
        <f>'Meteorological data'!F25</f>
        <v>8.5486792317486501E-2</v>
      </c>
      <c r="Q25" s="532">
        <f>'Meteorological data'!G25</f>
        <v>7.773972602739726E-2</v>
      </c>
      <c r="R25" s="533">
        <v>681</v>
      </c>
      <c r="S25" s="534">
        <f t="shared" si="0"/>
        <v>227</v>
      </c>
      <c r="T25" s="534" t="e">
        <f t="shared" si="4"/>
        <v>#VALUE!</v>
      </c>
      <c r="U25" s="534" t="e">
        <f t="shared" si="5"/>
        <v>#DIV/0!</v>
      </c>
      <c r="V25" s="534" t="e">
        <f t="shared" si="1"/>
        <v>#VALUE!</v>
      </c>
      <c r="W25" s="81" t="e">
        <f t="shared" si="2"/>
        <v>#VALUE!</v>
      </c>
      <c r="X25" s="81">
        <f t="shared" ref="X25:X30" si="21">(($X$28-$X$23)/($O$28-$O$23))*(O25-$O$23)+$X$23</f>
        <v>0</v>
      </c>
      <c r="Y25" s="534" t="e">
        <f t="shared" si="14"/>
        <v>#VALUE!</v>
      </c>
      <c r="Z25" s="534" t="e">
        <f t="shared" si="7"/>
        <v>#VALUE!</v>
      </c>
      <c r="AA25" s="534" t="e">
        <f t="shared" si="8"/>
        <v>#VALUE!</v>
      </c>
      <c r="AB25" s="534" t="e">
        <f t="shared" si="9"/>
        <v>#VALUE!</v>
      </c>
      <c r="AC25" s="535" t="e">
        <f t="shared" si="10"/>
        <v>#VALUE!</v>
      </c>
    </row>
    <row r="26" spans="1:35" ht="15.75">
      <c r="A26" s="550" t="str">
        <f t="shared" si="20"/>
        <v>Very high Temperature Heating Capacity (kW)</v>
      </c>
      <c r="B26" s="547" t="str">
        <f t="shared" si="15"/>
        <v>Based on test data according to I.S. EN 14825</v>
      </c>
      <c r="C26" s="556">
        <f t="shared" si="18"/>
        <v>0</v>
      </c>
      <c r="D26" s="556">
        <f t="shared" si="16"/>
        <v>0</v>
      </c>
      <c r="E26" s="556">
        <f t="shared" si="16"/>
        <v>0</v>
      </c>
      <c r="F26" s="556">
        <f t="shared" si="16"/>
        <v>0</v>
      </c>
      <c r="G26" s="557">
        <f t="shared" si="16"/>
        <v>0</v>
      </c>
      <c r="I26" s="38" t="s">
        <v>503</v>
      </c>
      <c r="J26" s="82"/>
      <c r="O26" s="531">
        <f t="shared" si="3"/>
        <v>10</v>
      </c>
      <c r="P26" s="532">
        <f>'Meteorological data'!F26</f>
        <v>6.875526782992307E-2</v>
      </c>
      <c r="Q26" s="532">
        <f>'Meteorological data'!G26</f>
        <v>7.294520547945206E-2</v>
      </c>
      <c r="R26" s="533">
        <v>639</v>
      </c>
      <c r="S26" s="534">
        <f t="shared" si="0"/>
        <v>213</v>
      </c>
      <c r="T26" s="534" t="e">
        <f t="shared" si="4"/>
        <v>#VALUE!</v>
      </c>
      <c r="U26" s="534" t="e">
        <f t="shared" si="5"/>
        <v>#DIV/0!</v>
      </c>
      <c r="V26" s="534" t="e">
        <f t="shared" si="1"/>
        <v>#VALUE!</v>
      </c>
      <c r="W26" s="81" t="e">
        <f t="shared" si="2"/>
        <v>#VALUE!</v>
      </c>
      <c r="X26" s="81">
        <f t="shared" si="21"/>
        <v>0</v>
      </c>
      <c r="Y26" s="534" t="e">
        <f t="shared" si="14"/>
        <v>#VALUE!</v>
      </c>
      <c r="Z26" s="534" t="e">
        <f t="shared" si="7"/>
        <v>#VALUE!</v>
      </c>
      <c r="AA26" s="534" t="e">
        <f t="shared" si="8"/>
        <v>#VALUE!</v>
      </c>
      <c r="AB26" s="534" t="e">
        <f t="shared" si="9"/>
        <v>#VALUE!</v>
      </c>
      <c r="AC26" s="535" t="e">
        <f t="shared" si="10"/>
        <v>#VALUE!</v>
      </c>
    </row>
    <row r="27" spans="1:35" ht="13.5" thickBot="1">
      <c r="B27" s="291" t="s">
        <v>504</v>
      </c>
      <c r="C27" s="292" t="s">
        <v>505</v>
      </c>
      <c r="D27" s="292" t="s">
        <v>506</v>
      </c>
      <c r="E27" s="558" t="s">
        <v>507</v>
      </c>
      <c r="F27" s="292" t="s">
        <v>508</v>
      </c>
      <c r="G27" s="292" t="s">
        <v>509</v>
      </c>
      <c r="J27" s="82"/>
      <c r="O27" s="531">
        <f t="shared" si="3"/>
        <v>11</v>
      </c>
      <c r="P27" s="532">
        <f>'Meteorological data'!F27</f>
        <v>5.9179025518713124E-2</v>
      </c>
      <c r="Q27" s="532">
        <f>'Meteorological data'!G27</f>
        <v>7.5342465753424653E-2</v>
      </c>
      <c r="R27" s="533">
        <v>660</v>
      </c>
      <c r="S27" s="534">
        <f t="shared" si="0"/>
        <v>220</v>
      </c>
      <c r="T27" s="534" t="e">
        <f t="shared" si="4"/>
        <v>#VALUE!</v>
      </c>
      <c r="U27" s="534" t="e">
        <f t="shared" si="5"/>
        <v>#DIV/0!</v>
      </c>
      <c r="V27" s="534" t="e">
        <f t="shared" si="1"/>
        <v>#VALUE!</v>
      </c>
      <c r="W27" s="81" t="e">
        <f t="shared" si="2"/>
        <v>#VALUE!</v>
      </c>
      <c r="X27" s="81">
        <f t="shared" si="21"/>
        <v>0</v>
      </c>
      <c r="Y27" s="534" t="e">
        <f t="shared" si="14"/>
        <v>#VALUE!</v>
      </c>
      <c r="Z27" s="534" t="e">
        <f t="shared" si="7"/>
        <v>#VALUE!</v>
      </c>
      <c r="AA27" s="534" t="e">
        <f t="shared" si="8"/>
        <v>#VALUE!</v>
      </c>
      <c r="AB27" s="534" t="e">
        <f t="shared" si="9"/>
        <v>#VALUE!</v>
      </c>
      <c r="AC27" s="535" t="e">
        <f t="shared" si="10"/>
        <v>#VALUE!</v>
      </c>
    </row>
    <row r="28" spans="1:35">
      <c r="A28" s="80" t="s">
        <v>510</v>
      </c>
      <c r="B28" s="559" t="s">
        <v>511</v>
      </c>
      <c r="C28" s="560" t="str">
        <f>IF(C30="Yes",$E$125,
IF($E$132="Low temperature heat pump",$E$123,
IF($E$107&lt;=45,IF($E$128="Yes",$E$123,IF($E$129="Yes",$E$124,$E$125)),
IF($E$107&lt;=55,IF($E$129="Yes",$E$124,IF($E$128="Yes",$E$123,$E$125)),
$E$125))))</f>
        <v>High</v>
      </c>
      <c r="D28" s="170"/>
      <c r="E28" s="561"/>
      <c r="I28" s="80" t="s">
        <v>23</v>
      </c>
      <c r="J28" s="82"/>
      <c r="O28" s="537">
        <f t="shared" si="3"/>
        <v>12</v>
      </c>
      <c r="P28" s="538">
        <f>'Meteorological data'!F28</f>
        <v>4.3756612807775763E-2</v>
      </c>
      <c r="Q28" s="538">
        <f>'Meteorological data'!G28</f>
        <v>6.9634703196347028E-2</v>
      </c>
      <c r="R28" s="539">
        <v>610</v>
      </c>
      <c r="S28" s="540">
        <f t="shared" si="0"/>
        <v>203.33333333333331</v>
      </c>
      <c r="T28" s="540" t="e">
        <f t="shared" si="4"/>
        <v>#VALUE!</v>
      </c>
      <c r="U28" s="540" t="e">
        <f t="shared" si="5"/>
        <v>#DIV/0!</v>
      </c>
      <c r="V28" s="534" t="e">
        <f t="shared" si="1"/>
        <v>#VALUE!</v>
      </c>
      <c r="W28" s="541" t="e">
        <f t="shared" si="2"/>
        <v>#VALUE!</v>
      </c>
      <c r="X28" s="541">
        <f>G41</f>
        <v>0</v>
      </c>
      <c r="Y28" s="540" t="e">
        <f t="shared" si="14"/>
        <v>#VALUE!</v>
      </c>
      <c r="Z28" s="540" t="e">
        <f t="shared" si="7"/>
        <v>#VALUE!</v>
      </c>
      <c r="AA28" s="540" t="e">
        <f t="shared" si="8"/>
        <v>#VALUE!</v>
      </c>
      <c r="AB28" s="540" t="e">
        <f t="shared" si="9"/>
        <v>#VALUE!</v>
      </c>
      <c r="AC28" s="542" t="e">
        <f t="shared" si="10"/>
        <v>#VALUE!</v>
      </c>
    </row>
    <row r="29" spans="1:35">
      <c r="B29" s="562" t="s">
        <v>512</v>
      </c>
      <c r="C29" s="563" t="str">
        <f>IF(C30="Yes","Error",
IF($E$132="Low temperature heat pump",IF($E$129="Yes",$E$124,"Error"),
IF($E$107&lt;=45,IF(C28=$E$123,IF($E$129="Yes",$E$124,$E$125),IF(C28=$E$124,$E$125,"Error")),
IF($E$107&lt;=55,IF(C28=$E$123,$E$125,IF(C28=$E$124,$E$125,"Error")),
IF($E$130="Yes",$E$126,"Error")))))</f>
        <v>Error</v>
      </c>
      <c r="D29" s="170"/>
      <c r="E29" s="561"/>
      <c r="J29" s="82"/>
      <c r="N29" s="82"/>
      <c r="O29" s="531">
        <f t="shared" si="3"/>
        <v>13</v>
      </c>
      <c r="P29" s="532">
        <f>'Meteorological data'!F29</f>
        <v>3.1311084410810035E-2</v>
      </c>
      <c r="Q29" s="532">
        <f>'Meteorological data'!G29</f>
        <v>6.6438356164383566E-2</v>
      </c>
      <c r="R29" s="533">
        <v>582</v>
      </c>
      <c r="S29" s="534">
        <f t="shared" si="0"/>
        <v>194</v>
      </c>
      <c r="T29" s="534" t="e">
        <f t="shared" si="4"/>
        <v>#VALUE!</v>
      </c>
      <c r="U29" s="534" t="e">
        <f t="shared" si="5"/>
        <v>#DIV/0!</v>
      </c>
      <c r="V29" s="534" t="e">
        <f t="shared" si="1"/>
        <v>#VALUE!</v>
      </c>
      <c r="W29" s="81" t="e">
        <f t="shared" si="2"/>
        <v>#VALUE!</v>
      </c>
      <c r="X29" s="81">
        <f t="shared" si="21"/>
        <v>0</v>
      </c>
      <c r="Y29" s="534" t="e">
        <f t="shared" si="14"/>
        <v>#VALUE!</v>
      </c>
      <c r="Z29" s="534" t="e">
        <f t="shared" si="7"/>
        <v>#VALUE!</v>
      </c>
      <c r="AA29" s="534" t="e">
        <f t="shared" si="8"/>
        <v>#VALUE!</v>
      </c>
      <c r="AB29" s="534" t="e">
        <f t="shared" si="9"/>
        <v>#VALUE!</v>
      </c>
      <c r="AC29" s="535" t="e">
        <f t="shared" si="10"/>
        <v>#VALUE!</v>
      </c>
    </row>
    <row r="30" spans="1:35" ht="13.5" thickBot="1">
      <c r="B30" s="564" t="s">
        <v>513</v>
      </c>
      <c r="C30" s="565" t="str">
        <f>$E$106</f>
        <v>No</v>
      </c>
      <c r="D30" s="170"/>
      <c r="E30" s="561"/>
      <c r="J30" s="82"/>
      <c r="N30" s="82"/>
      <c r="O30" s="531">
        <f t="shared" si="3"/>
        <v>14</v>
      </c>
      <c r="P30" s="532">
        <f>'Meteorological data'!F30</f>
        <v>1.7251582590606676E-2</v>
      </c>
      <c r="Q30" s="532">
        <f>'Meteorological data'!G30</f>
        <v>5.4908675799086759E-2</v>
      </c>
      <c r="R30" s="533">
        <v>481</v>
      </c>
      <c r="S30" s="534">
        <f t="shared" si="0"/>
        <v>160.33333333333331</v>
      </c>
      <c r="T30" s="534" t="e">
        <f t="shared" si="4"/>
        <v>#VALUE!</v>
      </c>
      <c r="U30" s="534" t="e">
        <f t="shared" si="5"/>
        <v>#DIV/0!</v>
      </c>
      <c r="V30" s="534" t="e">
        <f t="shared" si="1"/>
        <v>#VALUE!</v>
      </c>
      <c r="W30" s="81" t="e">
        <f t="shared" si="2"/>
        <v>#VALUE!</v>
      </c>
      <c r="X30" s="81">
        <f t="shared" si="21"/>
        <v>0</v>
      </c>
      <c r="Y30" s="534" t="e">
        <f t="shared" si="14"/>
        <v>#VALUE!</v>
      </c>
      <c r="Z30" s="534" t="e">
        <f t="shared" si="7"/>
        <v>#VALUE!</v>
      </c>
      <c r="AA30" s="534" t="e">
        <f t="shared" si="8"/>
        <v>#VALUE!</v>
      </c>
      <c r="AB30" s="534" t="e">
        <f t="shared" si="9"/>
        <v>#VALUE!</v>
      </c>
      <c r="AC30" s="535" t="e">
        <f t="shared" si="10"/>
        <v>#VALUE!</v>
      </c>
    </row>
    <row r="31" spans="1:35" ht="14.25">
      <c r="A31" s="523" t="s">
        <v>514</v>
      </c>
      <c r="B31" s="80" t="str">
        <f>C28</f>
        <v>High</v>
      </c>
      <c r="C31" s="80">
        <f>IF($C$28=$E$123,C15,IF($C$28=$E$124,C16,C17))</f>
        <v>55</v>
      </c>
      <c r="D31" s="80">
        <f t="shared" ref="D31:G31" si="22">IF($C$28=$E$123,D15,IF($C$28=$E$124,D16,D17))</f>
        <v>55</v>
      </c>
      <c r="E31" s="80">
        <f t="shared" si="22"/>
        <v>55</v>
      </c>
      <c r="F31" s="80">
        <f t="shared" si="22"/>
        <v>55</v>
      </c>
      <c r="G31" s="80">
        <f t="shared" si="22"/>
        <v>55</v>
      </c>
      <c r="I31" s="82"/>
      <c r="J31" s="82"/>
      <c r="O31" s="531">
        <f t="shared" si="3"/>
        <v>15</v>
      </c>
      <c r="P31" s="532">
        <f>'Meteorological data'!F31</f>
        <v>9.002385094058785E-3</v>
      </c>
      <c r="Q31" s="532">
        <f>'Meteorological data'!G31</f>
        <v>5.7305936073059359E-2</v>
      </c>
      <c r="R31" s="533">
        <v>502</v>
      </c>
      <c r="S31" s="534">
        <f t="shared" si="0"/>
        <v>167.33333333333331</v>
      </c>
      <c r="T31" s="534" t="e">
        <f t="shared" si="4"/>
        <v>#VALUE!</v>
      </c>
      <c r="U31" s="534" t="e">
        <f t="shared" si="5"/>
        <v>#DIV/0!</v>
      </c>
      <c r="V31" s="534" t="e">
        <f t="shared" si="1"/>
        <v>#VALUE!</v>
      </c>
      <c r="W31" s="81" t="e">
        <f t="shared" si="2"/>
        <v>#VALUE!</v>
      </c>
      <c r="X31" s="81">
        <f>(($X$28-$X$23)/($O$28-$O$23))*(O31-$O$23)+$X$23</f>
        <v>0</v>
      </c>
      <c r="Y31" s="534" t="e">
        <f t="shared" si="14"/>
        <v>#VALUE!</v>
      </c>
      <c r="Z31" s="534" t="e">
        <f t="shared" si="7"/>
        <v>#VALUE!</v>
      </c>
      <c r="AA31" s="534" t="e">
        <f t="shared" si="8"/>
        <v>#VALUE!</v>
      </c>
      <c r="AB31" s="534" t="e">
        <f t="shared" si="9"/>
        <v>#VALUE!</v>
      </c>
      <c r="AC31" s="535" t="e">
        <f t="shared" si="10"/>
        <v>#VALUE!</v>
      </c>
    </row>
    <row r="32" spans="1:35" ht="14.25">
      <c r="A32" s="523" t="s">
        <v>515</v>
      </c>
      <c r="B32" s="80" t="str">
        <f>C29</f>
        <v>Error</v>
      </c>
      <c r="C32" s="80">
        <f>IF($C$29=$E$126,C18,IF($C$29=$E$125,C17,IF($C$29="Error",0,C16)))</f>
        <v>0</v>
      </c>
      <c r="D32" s="80">
        <f t="shared" ref="D32:G32" si="23">IF($C$29=$E$126,D18,IF($C$29=$E$125,D17,IF($C$29="Error",0,D16)))</f>
        <v>0</v>
      </c>
      <c r="E32" s="80">
        <f t="shared" si="23"/>
        <v>0</v>
      </c>
      <c r="F32" s="80">
        <f t="shared" si="23"/>
        <v>0</v>
      </c>
      <c r="G32" s="80">
        <f t="shared" si="23"/>
        <v>0</v>
      </c>
      <c r="J32" s="82"/>
      <c r="O32" s="531">
        <f t="shared" si="3"/>
        <v>16</v>
      </c>
      <c r="Q32" s="532">
        <f>'Meteorological data'!G32</f>
        <v>4.3721461187214615E-2</v>
      </c>
      <c r="R32" s="533">
        <v>383</v>
      </c>
      <c r="S32" s="534">
        <f t="shared" si="0"/>
        <v>127.66666666666666</v>
      </c>
      <c r="U32" s="534" t="e">
        <f t="shared" si="5"/>
        <v>#DIV/0!</v>
      </c>
      <c r="V32" s="534" t="e">
        <f t="shared" si="1"/>
        <v>#DIV/0!</v>
      </c>
      <c r="W32" s="81" t="s">
        <v>23</v>
      </c>
    </row>
    <row r="33" spans="1:24" ht="13.5" thickBot="1">
      <c r="A33" s="523" t="s">
        <v>516</v>
      </c>
      <c r="B33" s="80" t="str">
        <f>C28</f>
        <v>High</v>
      </c>
      <c r="C33" s="81">
        <f>IF($C$28=$E$123,C19,IF($C$28=$E$124,C20,C21))</f>
        <v>0</v>
      </c>
      <c r="D33" s="81">
        <f t="shared" ref="D33:G33" si="24">IF($C$28=$E$123,D19,IF($C$28=$E$124,D20,D21))</f>
        <v>0</v>
      </c>
      <c r="E33" s="81">
        <f t="shared" si="24"/>
        <v>0</v>
      </c>
      <c r="F33" s="81">
        <f t="shared" si="24"/>
        <v>0</v>
      </c>
      <c r="G33" s="81">
        <f t="shared" si="24"/>
        <v>0</v>
      </c>
      <c r="J33" s="82"/>
      <c r="O33" s="531">
        <f t="shared" si="3"/>
        <v>17</v>
      </c>
      <c r="Q33" s="532">
        <f>'Meteorological data'!G33</f>
        <v>2.9566210045662102E-2</v>
      </c>
      <c r="R33" s="533">
        <v>259</v>
      </c>
      <c r="S33" s="534">
        <f t="shared" si="0"/>
        <v>86.333333333333329</v>
      </c>
      <c r="U33" s="534" t="e">
        <f t="shared" si="5"/>
        <v>#DIV/0!</v>
      </c>
      <c r="V33" s="534" t="e">
        <f t="shared" si="1"/>
        <v>#DIV/0!</v>
      </c>
      <c r="W33" s="81" t="s">
        <v>23</v>
      </c>
    </row>
    <row r="34" spans="1:24">
      <c r="A34" s="523" t="s">
        <v>517</v>
      </c>
      <c r="B34" s="80" t="str">
        <f>C29</f>
        <v>Error</v>
      </c>
      <c r="C34" s="81">
        <f>IF($C$29=$E$126,C22,IF($C$29=$E$125,C21,IF($C$29="Error",0,C20)))</f>
        <v>0</v>
      </c>
      <c r="D34" s="81">
        <f t="shared" ref="D34:G34" si="25">IF($C$29=$E$126,D22,IF($C$29=$E$125,D21,IF($C$29="Error",0,D20)))</f>
        <v>0</v>
      </c>
      <c r="E34" s="81">
        <f t="shared" si="25"/>
        <v>0</v>
      </c>
      <c r="F34" s="81">
        <f t="shared" si="25"/>
        <v>0</v>
      </c>
      <c r="G34" s="81">
        <f t="shared" si="25"/>
        <v>0</v>
      </c>
      <c r="I34" s="566" t="s">
        <v>518</v>
      </c>
      <c r="J34" s="82"/>
      <c r="O34" s="531">
        <f t="shared" si="3"/>
        <v>18</v>
      </c>
      <c r="Q34" s="532">
        <f>'Meteorological data'!G34</f>
        <v>1.9406392694063926E-2</v>
      </c>
      <c r="R34" s="533">
        <v>170</v>
      </c>
      <c r="S34" s="534">
        <f t="shared" si="0"/>
        <v>56.666666666666664</v>
      </c>
      <c r="U34" s="534" t="e">
        <f t="shared" si="5"/>
        <v>#DIV/0!</v>
      </c>
      <c r="V34" s="534" t="e">
        <f t="shared" si="1"/>
        <v>#DIV/0!</v>
      </c>
      <c r="W34" s="81" t="s">
        <v>23</v>
      </c>
    </row>
    <row r="35" spans="1:24" ht="13.5" thickBot="1">
      <c r="A35" s="523" t="s">
        <v>519</v>
      </c>
      <c r="B35" s="80" t="str">
        <f>C28</f>
        <v>High</v>
      </c>
      <c r="C35" s="81">
        <f>IF($C$28=$E$123,C23,IF($C$28=$E$124,C24,C25))</f>
        <v>0</v>
      </c>
      <c r="D35" s="81">
        <f t="shared" ref="D35:G35" si="26">IF($C$28=$E$123,D23,IF($C$28=$E$124,D24,D25))</f>
        <v>0</v>
      </c>
      <c r="E35" s="81">
        <f t="shared" si="26"/>
        <v>0</v>
      </c>
      <c r="F35" s="81">
        <f t="shared" si="26"/>
        <v>0</v>
      </c>
      <c r="G35" s="81">
        <f t="shared" si="26"/>
        <v>0</v>
      </c>
      <c r="I35" s="567">
        <f>IF(E132="Low temperature heat pump",35,55)</f>
        <v>55</v>
      </c>
      <c r="J35" s="82"/>
      <c r="O35" s="531">
        <f t="shared" si="3"/>
        <v>19</v>
      </c>
      <c r="Q35" s="532">
        <f>'Meteorological data'!G35</f>
        <v>1.2785388127853882E-2</v>
      </c>
      <c r="R35" s="533">
        <v>112</v>
      </c>
      <c r="S35" s="534">
        <f t="shared" si="0"/>
        <v>37.333333333333329</v>
      </c>
      <c r="U35" s="534" t="e">
        <f t="shared" si="5"/>
        <v>#DIV/0!</v>
      </c>
      <c r="V35" s="534" t="e">
        <f t="shared" si="1"/>
        <v>#DIV/0!</v>
      </c>
      <c r="W35" s="81" t="s">
        <v>23</v>
      </c>
    </row>
    <row r="36" spans="1:24">
      <c r="A36" s="523" t="s">
        <v>520</v>
      </c>
      <c r="B36" s="80" t="str">
        <f>C29</f>
        <v>Error</v>
      </c>
      <c r="C36" s="81">
        <f>IF($C$29=$E$126,C26,IF($C$29=$E$125,C25,IF($C$29="Error",0,C24)))</f>
        <v>0</v>
      </c>
      <c r="D36" s="81">
        <f t="shared" ref="D36:G36" si="27">IF($C$29=$E$126,D26,IF($C$29=$E$125,D25,IF($C$29="Error",0,D24)))</f>
        <v>0</v>
      </c>
      <c r="E36" s="81">
        <f t="shared" si="27"/>
        <v>0</v>
      </c>
      <c r="F36" s="81">
        <f t="shared" si="27"/>
        <v>0</v>
      </c>
      <c r="G36" s="81">
        <f t="shared" si="27"/>
        <v>0</v>
      </c>
      <c r="J36" s="82"/>
      <c r="O36" s="531">
        <f t="shared" si="3"/>
        <v>20</v>
      </c>
      <c r="Q36" s="532">
        <f>'Meteorological data'!G36</f>
        <v>7.6484018264840184E-3</v>
      </c>
      <c r="R36" s="533">
        <v>67</v>
      </c>
      <c r="S36" s="534">
        <f t="shared" si="0"/>
        <v>22.333333333333332</v>
      </c>
      <c r="U36" s="534" t="e">
        <f t="shared" si="5"/>
        <v>#DIV/0!</v>
      </c>
      <c r="V36" s="534" t="e">
        <f t="shared" si="1"/>
        <v>#DIV/0!</v>
      </c>
      <c r="W36" s="81" t="s">
        <v>23</v>
      </c>
      <c r="X36" s="523" t="s">
        <v>521</v>
      </c>
    </row>
    <row r="37" spans="1:24" ht="42" customHeight="1">
      <c r="A37" s="82" t="s">
        <v>522</v>
      </c>
      <c r="B37" s="529" t="s">
        <v>523</v>
      </c>
      <c r="C37" s="568" t="e">
        <f>$E$105+(($E$109/2)*(($E$105-C3)/($E$105-$E$104)))+((AVERAGE($I$35,($I$35-$E$109))-$E$105)*(($E$105-C3)/($E$105-$E$104))^(1/$E$108))</f>
        <v>#VALUE!</v>
      </c>
      <c r="D37" s="568" t="e">
        <f>$E$105+(($E$109/2)*(($E$105-D3)/($E$105-$E$104)))+((AVERAGE($I$35,($I$35-$E$109))-$E$105)*(($E$105-D3)/($E$105-$E$104))^(1/$E$108))</f>
        <v>#VALUE!</v>
      </c>
      <c r="E37" s="568" t="e">
        <f>$E$105+(($E$109/2)*(($E$105-E3)/($E$105-$E$104)))+((AVERAGE($I$35,($I$35-$E$109))-$E$105)*(($E$105-E3)/($E$105-$E$104))^(1/$E$108))</f>
        <v>#VALUE!</v>
      </c>
      <c r="F37" s="568" t="e">
        <f>$E$105+(($E$109/2)*(($E$105-F3)/($E$105-$E$104)))+((AVERAGE($I$35,($I$35-$E$109))-$E$105)*(($E$105-F3)/($E$105-$E$104))^(1/$E$108))</f>
        <v>#VALUE!</v>
      </c>
      <c r="G37" s="568" t="e">
        <f>$E$105+(($E$109/2)*(($E$105-G3)/($E$105-$E$104)))+((AVERAGE($I$35,($I$35-$E$109))-$E$105)*(($E$105-G3)/($E$105-$E$104))^(1/$E$108))</f>
        <v>#VALUE!</v>
      </c>
      <c r="I37" s="527" t="str">
        <f>I35&amp;"degC basis for Supply Flow Temperature to meet the mandatory test points in Ecodesign, to use for single test point data"</f>
        <v>55degC basis for Supply Flow Temperature to meet the mandatory test points in Ecodesign, to use for single test point data</v>
      </c>
      <c r="J37" s="82"/>
      <c r="O37" s="531">
        <f t="shared" si="3"/>
        <v>21</v>
      </c>
      <c r="Q37" s="532">
        <f>'Meteorological data'!G37</f>
        <v>4.2237442922374432E-3</v>
      </c>
      <c r="R37" s="533">
        <v>37</v>
      </c>
      <c r="S37" s="534">
        <f t="shared" si="0"/>
        <v>12.333333333333332</v>
      </c>
      <c r="U37" s="534" t="e">
        <f t="shared" si="5"/>
        <v>#DIV/0!</v>
      </c>
      <c r="V37" s="534" t="e">
        <f t="shared" si="1"/>
        <v>#DIV/0!</v>
      </c>
      <c r="W37" s="81" t="s">
        <v>23</v>
      </c>
    </row>
    <row r="38" spans="1:24" ht="38.25">
      <c r="A38" s="80" t="s">
        <v>524</v>
      </c>
      <c r="B38" s="529" t="s">
        <v>525</v>
      </c>
      <c r="C38" s="80" t="str">
        <f>IF(OR($E$98="Air to Water",$E$98="Air to Air"),C3,
IF(LEFT($E$98,7)="Exhaust",$E$105,
IF(OR($E$98="Water to Water",$E$98="Water to Air"),10,
IF($E$98="Direct exchange (DX)",4,
MAX(0,MIN(0.15*C3+1.5,4.5))))))</f>
        <v xml:space="preserve"> </v>
      </c>
      <c r="D38" s="80">
        <f>IF(OR($E$98="Air to Water",$E$98="Air to Air"),D3,
IF(LEFT($E$98,7)="Exhaust",$E$105,
IF(OR($E$98="Water to Water",$E$98="Water to Air"),10,
IF($E$98="Direct exchange (DX)",4,
MAX(0,MIN(0.15*D3+1.5,4.5))))))</f>
        <v>-7</v>
      </c>
      <c r="E38" s="80">
        <f>IF(OR($E$98="Air to Water",$E$98="Air to Air"),E3,
IF(LEFT($E$98,7)="Exhaust",$E$105,
IF(OR($E$98="Water to Water",$E$98="Water to Air"),10,
IF($E$98="Direct exchange (DX)",4,
MAX(0,MIN(0.15*E3+1.5,4.5))))))</f>
        <v>2</v>
      </c>
      <c r="F38" s="80">
        <f>IF(OR($E$98="Air to Water",$E$98="Air to Air"),F3,
IF(LEFT($E$98,7)="Exhaust",$E$105,
IF(OR($E$98="Water to Water",$E$98="Water to Air"),10,
IF($E$98="Direct exchange (DX)",4,
MAX(0,MIN(0.15*F3+1.5,4.5))))))</f>
        <v>7</v>
      </c>
      <c r="G38" s="80">
        <f>IF(OR($E$98="Air to Water",$E$98="Air to Air"),G3,
IF(LEFT($E$98,7)="Exhaust",$E$105,
IF(OR($E$98="Water to Water",$E$98="Water to Air"),10,
IF($E$98="Direct exchange (DX)",4,
MAX(0,MIN(0.15*G3+1.5,4.5))))))</f>
        <v>12</v>
      </c>
      <c r="I38" s="523" t="s">
        <v>526</v>
      </c>
      <c r="J38" s="82"/>
      <c r="K38" s="523"/>
      <c r="M38" s="523"/>
      <c r="N38" s="523"/>
      <c r="O38" s="531">
        <f t="shared" si="3"/>
        <v>22</v>
      </c>
      <c r="Q38" s="532">
        <f>'Meteorological data'!G38</f>
        <v>3.0821917808219177E-3</v>
      </c>
      <c r="R38" s="533">
        <v>27</v>
      </c>
      <c r="S38" s="534">
        <f t="shared" si="0"/>
        <v>9</v>
      </c>
      <c r="U38" s="534" t="e">
        <f t="shared" si="5"/>
        <v>#DIV/0!</v>
      </c>
      <c r="V38" s="534" t="e">
        <f t="shared" si="1"/>
        <v>#DIV/0!</v>
      </c>
      <c r="W38" s="81" t="s">
        <v>23</v>
      </c>
    </row>
    <row r="39" spans="1:24" ht="119.25" customHeight="1">
      <c r="A39" s="80" t="s">
        <v>527</v>
      </c>
      <c r="B39" s="528" t="s">
        <v>528</v>
      </c>
      <c r="C39" s="81" t="e">
        <f>$E$105+
((($E$107-$E$110)/2)*
(($E$105-C3)/
($E$105-$E$104)))+
((AVERAGE($E$107,$E$110)-$E$105)*
(($E$105-C3)/($E$105-$E$104))^
(1/$E$108))</f>
        <v>#VALUE!</v>
      </c>
      <c r="D39" s="81" t="e">
        <f>$E$105+
((($E$107-$E$110)/2)*
(($E$105-D3)/
($E$105-$E$104)))+
((AVERAGE($E$107,$E$110)-$E$105)*
(($E$105-D3)/($E$105-$E$104))^
(1/$E$108))</f>
        <v>#VALUE!</v>
      </c>
      <c r="E39" s="81" t="e">
        <f>$E$105+
((($E$107-$E$110)/2)*
(($E$105-E3)/
($E$105-$E$104)))+
((AVERAGE($E$107,$E$110)-$E$105)*
(($E$105-E3)/($E$105-$E$104))^
(1/$E$108))</f>
        <v>#VALUE!</v>
      </c>
      <c r="F39" s="81" t="e">
        <f>$E$105+
((($E$107-$E$110)/2)*
(($E$105-F3)/
($E$105-$E$104)))+
((AVERAGE($E$107,$E$110)-$E$105)*
(($E$105-F3)/($E$105-$E$104))^
(1/$E$108))</f>
        <v>#VALUE!</v>
      </c>
      <c r="G39" s="81" t="e">
        <f>$E$105+
((($E$107-$E$110)/2)*
(($E$105-G3)/
($E$105-$E$104)))+
((AVERAGE($E$107,$E$110)-$E$105)*
(($E$105-G3)/($E$105-$E$104))^
(1/$E$108))</f>
        <v>#VALUE!</v>
      </c>
      <c r="H39" s="80" t="s">
        <v>23</v>
      </c>
      <c r="M39" s="523"/>
      <c r="O39" s="531">
        <f t="shared" si="3"/>
        <v>23</v>
      </c>
      <c r="Q39" s="532">
        <f>'Meteorological data'!G39</f>
        <v>2.2831050228310501E-3</v>
      </c>
      <c r="R39" s="533">
        <v>20</v>
      </c>
      <c r="S39" s="534">
        <f t="shared" si="0"/>
        <v>6.6666666666666661</v>
      </c>
      <c r="U39" s="534" t="e">
        <f t="shared" si="5"/>
        <v>#DIV/0!</v>
      </c>
      <c r="V39" s="534" t="e">
        <f t="shared" si="1"/>
        <v>#DIV/0!</v>
      </c>
      <c r="W39" s="81" t="s">
        <v>23</v>
      </c>
    </row>
    <row r="40" spans="1:24" ht="43.35" customHeight="1">
      <c r="A40" s="80" t="s">
        <v>529</v>
      </c>
      <c r="B40" s="528" t="s">
        <v>530</v>
      </c>
      <c r="C40" s="718" t="s">
        <v>531</v>
      </c>
      <c r="D40" s="719"/>
      <c r="E40" s="719"/>
      <c r="F40" s="719"/>
      <c r="G40" s="719"/>
      <c r="H40" s="719"/>
      <c r="J40" s="82"/>
      <c r="K40" s="82"/>
      <c r="M40" s="82"/>
      <c r="N40" s="523"/>
      <c r="O40" s="531">
        <f t="shared" si="3"/>
        <v>24</v>
      </c>
      <c r="Q40" s="532">
        <f>'Meteorological data'!G40</f>
        <v>1.4840182648401827E-3</v>
      </c>
      <c r="R40" s="533">
        <v>13</v>
      </c>
      <c r="S40" s="534">
        <f t="shared" si="0"/>
        <v>4.333333333333333</v>
      </c>
      <c r="U40" s="534" t="e">
        <f t="shared" si="5"/>
        <v>#DIV/0!</v>
      </c>
      <c r="V40" s="534" t="e">
        <f t="shared" si="1"/>
        <v>#DIV/0!</v>
      </c>
      <c r="W40" s="81" t="s">
        <v>23</v>
      </c>
    </row>
    <row r="41" spans="1:24" ht="25.5">
      <c r="A41" s="80" t="s">
        <v>532</v>
      </c>
      <c r="B41" s="528" t="s">
        <v>533</v>
      </c>
      <c r="C41" s="81">
        <f>IF($C$29="Error",C35,((C36-C35)/(C32-C31))*(C39-C31)+C35)</f>
        <v>0</v>
      </c>
      <c r="D41" s="81">
        <f>IF($C$29="Error",D35,((D36-D35)/(D32-D31))*(D39-D31)+D35)</f>
        <v>0</v>
      </c>
      <c r="E41" s="81">
        <f>IF($C$29="Error",E35,((E36-E35)/(E32-E31))*(E39-E31)+E35)</f>
        <v>0</v>
      </c>
      <c r="F41" s="81">
        <f>IF($C$29="Error",F35,((F36-F35)/(F32-F31))*(F39-F31)+F35)</f>
        <v>0</v>
      </c>
      <c r="G41" s="81">
        <f>IF($C$29="Error",G35,((G36-G35)/(G32-G31))*(G39-G31)+G35)</f>
        <v>0</v>
      </c>
      <c r="I41" s="527" t="s">
        <v>534</v>
      </c>
      <c r="J41" s="82"/>
      <c r="N41" s="82"/>
      <c r="O41" s="531">
        <f t="shared" si="3"/>
        <v>25</v>
      </c>
      <c r="Q41" s="532">
        <f>'Meteorological data'!G41</f>
        <v>0</v>
      </c>
      <c r="R41" s="533">
        <v>0</v>
      </c>
      <c r="S41" s="534">
        <f t="shared" si="0"/>
        <v>0</v>
      </c>
      <c r="U41" s="534" t="e">
        <f t="shared" si="5"/>
        <v>#DIV/0!</v>
      </c>
      <c r="V41" s="534" t="e">
        <f t="shared" si="1"/>
        <v>#DIV/0!</v>
      </c>
      <c r="W41" s="81" t="s">
        <v>23</v>
      </c>
    </row>
    <row r="42" spans="1:24" ht="13.5" thickBot="1">
      <c r="C42" s="534"/>
      <c r="D42" s="534"/>
      <c r="E42" s="534"/>
      <c r="F42" s="534"/>
      <c r="G42" s="534"/>
      <c r="J42" s="82"/>
      <c r="O42" s="531">
        <f t="shared" si="3"/>
        <v>26</v>
      </c>
      <c r="Q42" s="532">
        <f>'Meteorological data'!G42</f>
        <v>0</v>
      </c>
      <c r="R42" s="533">
        <v>0</v>
      </c>
      <c r="S42" s="534">
        <f t="shared" si="0"/>
        <v>0</v>
      </c>
      <c r="U42" s="534" t="e">
        <f t="shared" si="5"/>
        <v>#DIV/0!</v>
      </c>
      <c r="V42" s="534" t="e">
        <f t="shared" si="1"/>
        <v>#DIV/0!</v>
      </c>
      <c r="W42" s="81" t="s">
        <v>23</v>
      </c>
    </row>
    <row r="43" spans="1:24" ht="38.25">
      <c r="A43" s="80" t="s">
        <v>535</v>
      </c>
      <c r="B43" s="80" t="s">
        <v>536</v>
      </c>
      <c r="C43" s="80">
        <f>IF(C28="Low",F35,F35)</f>
        <v>0</v>
      </c>
      <c r="D43" s="80" t="s">
        <v>369</v>
      </c>
      <c r="I43" s="569" t="s">
        <v>537</v>
      </c>
      <c r="J43" s="570" t="s">
        <v>538</v>
      </c>
      <c r="K43" s="566" t="s">
        <v>539</v>
      </c>
      <c r="N43" s="82"/>
      <c r="O43" s="531">
        <f t="shared" si="3"/>
        <v>27</v>
      </c>
      <c r="Q43" s="532">
        <f>'Meteorological data'!G43</f>
        <v>0</v>
      </c>
      <c r="R43" s="533">
        <v>0</v>
      </c>
      <c r="S43" s="534">
        <f t="shared" si="0"/>
        <v>0</v>
      </c>
      <c r="U43" s="534" t="e">
        <f t="shared" si="5"/>
        <v>#DIV/0!</v>
      </c>
      <c r="V43" s="534" t="e">
        <f t="shared" si="1"/>
        <v>#DIV/0!</v>
      </c>
      <c r="W43" s="81" t="s">
        <v>23</v>
      </c>
    </row>
    <row r="44" spans="1:24" ht="39" thickBot="1">
      <c r="A44" s="80" t="s">
        <v>540</v>
      </c>
      <c r="B44" s="571" t="s">
        <v>541</v>
      </c>
      <c r="C44" s="81">
        <f>C43/(4.182*J44)</f>
        <v>0</v>
      </c>
      <c r="D44" s="81" t="s">
        <v>23</v>
      </c>
      <c r="F44" s="81" t="s">
        <v>23</v>
      </c>
      <c r="G44" s="81" t="s">
        <v>23</v>
      </c>
      <c r="I44" s="527" t="s">
        <v>542</v>
      </c>
      <c r="J44" s="572">
        <f>IF(E133="Electricity",5,7+10*(K44-35)/30)</f>
        <v>5</v>
      </c>
      <c r="K44" s="567">
        <f>E131</f>
        <v>55</v>
      </c>
      <c r="O44" s="531">
        <f t="shared" si="3"/>
        <v>28</v>
      </c>
      <c r="Q44" s="532">
        <f>'Meteorological data'!G44</f>
        <v>0</v>
      </c>
      <c r="R44" s="533">
        <v>0</v>
      </c>
      <c r="S44" s="534">
        <f t="shared" si="0"/>
        <v>0</v>
      </c>
      <c r="U44" s="534" t="e">
        <f t="shared" si="5"/>
        <v>#DIV/0!</v>
      </c>
      <c r="V44" s="534" t="e">
        <f t="shared" si="1"/>
        <v>#DIV/0!</v>
      </c>
      <c r="W44" s="81" t="s">
        <v>23</v>
      </c>
    </row>
    <row r="45" spans="1:24" ht="14.25">
      <c r="A45" s="80" t="s">
        <v>543</v>
      </c>
      <c r="B45" s="528" t="s">
        <v>544</v>
      </c>
      <c r="C45" s="81" t="e">
        <f>C35/($C$44*4.182)</f>
        <v>#DIV/0!</v>
      </c>
      <c r="D45" s="81" t="e">
        <f t="shared" ref="C45:G46" si="28">D35/($C$44*4.182)</f>
        <v>#DIV/0!</v>
      </c>
      <c r="E45" s="81" t="e">
        <f t="shared" si="28"/>
        <v>#DIV/0!</v>
      </c>
      <c r="F45" s="81" t="e">
        <f t="shared" si="28"/>
        <v>#DIV/0!</v>
      </c>
      <c r="G45" s="81" t="e">
        <f t="shared" si="28"/>
        <v>#DIV/0!</v>
      </c>
      <c r="J45" s="82"/>
      <c r="O45" s="531">
        <f t="shared" si="3"/>
        <v>29</v>
      </c>
      <c r="Q45" s="532">
        <f>'Meteorological data'!G45</f>
        <v>0</v>
      </c>
      <c r="R45" s="533">
        <v>0</v>
      </c>
      <c r="S45" s="534">
        <f t="shared" si="0"/>
        <v>0</v>
      </c>
      <c r="U45" s="534" t="e">
        <f t="shared" si="5"/>
        <v>#DIV/0!</v>
      </c>
      <c r="V45" s="534" t="e">
        <f t="shared" si="1"/>
        <v>#DIV/0!</v>
      </c>
      <c r="W45" s="81" t="s">
        <v>23</v>
      </c>
    </row>
    <row r="46" spans="1:24" ht="14.25">
      <c r="A46" s="80" t="s">
        <v>545</v>
      </c>
      <c r="B46" s="528" t="s">
        <v>544</v>
      </c>
      <c r="C46" s="81" t="e">
        <f t="shared" si="28"/>
        <v>#DIV/0!</v>
      </c>
      <c r="D46" s="81" t="e">
        <f t="shared" si="28"/>
        <v>#DIV/0!</v>
      </c>
      <c r="E46" s="81" t="e">
        <f t="shared" si="28"/>
        <v>#DIV/0!</v>
      </c>
      <c r="F46" s="81" t="e">
        <f t="shared" si="28"/>
        <v>#DIV/0!</v>
      </c>
      <c r="G46" s="81" t="e">
        <f t="shared" si="28"/>
        <v>#DIV/0!</v>
      </c>
      <c r="J46" s="82"/>
      <c r="O46" s="531">
        <f t="shared" si="3"/>
        <v>30</v>
      </c>
      <c r="Q46" s="532">
        <f>'Meteorological data'!G46</f>
        <v>0</v>
      </c>
      <c r="R46" s="533">
        <v>0</v>
      </c>
      <c r="S46" s="534">
        <f t="shared" si="0"/>
        <v>0</v>
      </c>
      <c r="U46" s="534" t="e">
        <f t="shared" si="5"/>
        <v>#DIV/0!</v>
      </c>
      <c r="V46" s="534" t="e">
        <f t="shared" si="1"/>
        <v>#DIV/0!</v>
      </c>
      <c r="W46" s="81" t="s">
        <v>23</v>
      </c>
    </row>
    <row r="47" spans="1:24">
      <c r="A47" s="80" t="s">
        <v>546</v>
      </c>
      <c r="B47" s="80" t="s">
        <v>547</v>
      </c>
      <c r="C47" s="81" t="e">
        <f>E93/1000</f>
        <v>#VALUE!</v>
      </c>
      <c r="D47" s="81" t="s">
        <v>369</v>
      </c>
      <c r="E47" s="81"/>
      <c r="F47" s="81"/>
      <c r="G47" s="81"/>
      <c r="I47" s="523" t="s">
        <v>548</v>
      </c>
      <c r="J47" s="83" t="e">
        <f>C43/C47</f>
        <v>#VALUE!</v>
      </c>
      <c r="K47" s="82"/>
      <c r="M47" s="82"/>
      <c r="N47" s="523"/>
      <c r="O47" s="531">
        <f t="shared" si="3"/>
        <v>31</v>
      </c>
      <c r="Q47" s="532">
        <f>'Meteorological data'!G47</f>
        <v>0</v>
      </c>
      <c r="R47" s="533">
        <v>0</v>
      </c>
      <c r="S47" s="534">
        <f t="shared" si="0"/>
        <v>0</v>
      </c>
      <c r="U47" s="534" t="e">
        <f t="shared" si="5"/>
        <v>#DIV/0!</v>
      </c>
      <c r="V47" s="534" t="e">
        <f t="shared" si="1"/>
        <v>#DIV/0!</v>
      </c>
      <c r="W47" s="81" t="s">
        <v>23</v>
      </c>
    </row>
    <row r="48" spans="1:24">
      <c r="A48" s="80" t="s">
        <v>549</v>
      </c>
      <c r="B48" s="80" t="s">
        <v>550</v>
      </c>
      <c r="C48" s="81">
        <f>$E$107-$E$110</f>
        <v>10</v>
      </c>
      <c r="D48" s="81"/>
      <c r="E48" s="81"/>
      <c r="F48" s="81"/>
      <c r="G48" s="81"/>
      <c r="J48" s="82"/>
      <c r="O48" s="531">
        <f t="shared" si="3"/>
        <v>32</v>
      </c>
      <c r="Q48" s="532">
        <f>'Meteorological data'!G48</f>
        <v>0</v>
      </c>
      <c r="R48" s="533">
        <v>0</v>
      </c>
      <c r="S48" s="534">
        <f t="shared" si="0"/>
        <v>0</v>
      </c>
      <c r="U48" s="534" t="e">
        <f t="shared" si="5"/>
        <v>#DIV/0!</v>
      </c>
      <c r="V48" s="534" t="e">
        <f t="shared" si="1"/>
        <v>#DIV/0!</v>
      </c>
      <c r="W48" s="81" t="s">
        <v>23</v>
      </c>
    </row>
    <row r="49" spans="1:23">
      <c r="A49" s="80" t="s">
        <v>551</v>
      </c>
      <c r="B49" s="571" t="s">
        <v>541</v>
      </c>
      <c r="C49" s="81" t="e">
        <f>C47/(C48*4.182)</f>
        <v>#VALUE!</v>
      </c>
      <c r="J49" s="82"/>
      <c r="K49" s="523"/>
      <c r="M49" s="523"/>
      <c r="O49" s="531">
        <f t="shared" si="3"/>
        <v>33</v>
      </c>
      <c r="Q49" s="532">
        <f>'Meteorological data'!G49</f>
        <v>0</v>
      </c>
      <c r="R49" s="533">
        <v>0</v>
      </c>
      <c r="S49" s="534">
        <f t="shared" si="0"/>
        <v>0</v>
      </c>
      <c r="U49" s="534" t="e">
        <f t="shared" si="5"/>
        <v>#DIV/0!</v>
      </c>
      <c r="V49" s="534" t="e">
        <f t="shared" si="1"/>
        <v>#DIV/0!</v>
      </c>
      <c r="W49" s="81" t="s">
        <v>23</v>
      </c>
    </row>
    <row r="50" spans="1:23" ht="25.5">
      <c r="A50" s="82" t="s">
        <v>552</v>
      </c>
      <c r="B50" s="528" t="s">
        <v>544</v>
      </c>
      <c r="C50" s="81" t="e">
        <f>C35/($C$49*4.182)</f>
        <v>#VALUE!</v>
      </c>
      <c r="D50" s="81" t="e">
        <f t="shared" ref="D50:G51" si="29">D35/($C$49*4.182)</f>
        <v>#VALUE!</v>
      </c>
      <c r="E50" s="81" t="e">
        <f t="shared" si="29"/>
        <v>#VALUE!</v>
      </c>
      <c r="F50" s="81" t="e">
        <f t="shared" si="29"/>
        <v>#VALUE!</v>
      </c>
      <c r="G50" s="81" t="e">
        <f t="shared" si="29"/>
        <v>#VALUE!</v>
      </c>
      <c r="J50" s="82"/>
      <c r="O50" s="531">
        <f t="shared" si="3"/>
        <v>34</v>
      </c>
      <c r="Q50" s="532">
        <f>'Meteorological data'!G50</f>
        <v>0</v>
      </c>
      <c r="R50" s="533">
        <v>0</v>
      </c>
      <c r="S50" s="534">
        <f t="shared" si="0"/>
        <v>0</v>
      </c>
      <c r="U50" s="534" t="e">
        <f t="shared" si="5"/>
        <v>#DIV/0!</v>
      </c>
      <c r="V50" s="534" t="e">
        <f t="shared" si="1"/>
        <v>#DIV/0!</v>
      </c>
      <c r="W50" s="81" t="s">
        <v>23</v>
      </c>
    </row>
    <row r="51" spans="1:23" ht="25.5">
      <c r="A51" s="82" t="s">
        <v>553</v>
      </c>
      <c r="B51" s="528" t="s">
        <v>544</v>
      </c>
      <c r="C51" s="81" t="e">
        <f>C36/($C$49*4.182)</f>
        <v>#VALUE!</v>
      </c>
      <c r="D51" s="81" t="e">
        <f t="shared" si="29"/>
        <v>#VALUE!</v>
      </c>
      <c r="E51" s="81" t="e">
        <f t="shared" si="29"/>
        <v>#VALUE!</v>
      </c>
      <c r="F51" s="81" t="e">
        <f t="shared" si="29"/>
        <v>#VALUE!</v>
      </c>
      <c r="G51" s="81" t="e">
        <f t="shared" si="29"/>
        <v>#VALUE!</v>
      </c>
      <c r="J51" s="82"/>
      <c r="O51" s="531">
        <f t="shared" si="3"/>
        <v>35</v>
      </c>
      <c r="Q51" s="532">
        <f>'Meteorological data'!G51</f>
        <v>0</v>
      </c>
      <c r="R51" s="533">
        <v>0</v>
      </c>
      <c r="S51" s="534">
        <f t="shared" si="0"/>
        <v>0</v>
      </c>
      <c r="U51" s="534" t="e">
        <f t="shared" si="5"/>
        <v>#DIV/0!</v>
      </c>
      <c r="V51" s="534" t="e">
        <f t="shared" si="1"/>
        <v>#DIV/0!</v>
      </c>
      <c r="W51" s="81" t="s">
        <v>23</v>
      </c>
    </row>
    <row r="52" spans="1:23" ht="38.25">
      <c r="A52" s="80" t="s">
        <v>554</v>
      </c>
      <c r="B52" s="571" t="s">
        <v>555</v>
      </c>
      <c r="C52" s="81" t="e">
        <f>1-((C45-C50)/2)/((273.15+C31)-C45/2+5-(273.15+C38-5))</f>
        <v>#DIV/0!</v>
      </c>
      <c r="D52" s="81" t="e">
        <f>1-((D45-D50)/2)/((273.15+D31)-D45/2+5-(273.15+D38-5))</f>
        <v>#DIV/0!</v>
      </c>
      <c r="E52" s="81" t="e">
        <f>1-((E45-E50)/2)/((273.15+E31)-E45/2+5-(273.15+E38-5))</f>
        <v>#DIV/0!</v>
      </c>
      <c r="F52" s="81" t="e">
        <f>1-((F45-F50)/2)/((273.15+F31)-F45/2+5-(273.15+F38-5))</f>
        <v>#DIV/0!</v>
      </c>
      <c r="G52" s="81" t="e">
        <f>1-((G45-G50)/2)/((273.15+G31)-G45/2+5-(273.15+G38-5))</f>
        <v>#DIV/0!</v>
      </c>
      <c r="I52" s="529" t="s">
        <v>556</v>
      </c>
      <c r="J52" s="82"/>
      <c r="Q52" s="532"/>
      <c r="R52" s="532"/>
      <c r="S52" s="532"/>
      <c r="U52" s="534"/>
      <c r="V52" s="534"/>
      <c r="W52" s="81"/>
    </row>
    <row r="53" spans="1:23" ht="38.25">
      <c r="A53" s="80" t="s">
        <v>557</v>
      </c>
      <c r="B53" s="571" t="s">
        <v>555</v>
      </c>
      <c r="C53" s="81" t="e">
        <f>1-((C46-C51)/2)/((273.15+C32)-C46/2+5-(273.15+C38-5))</f>
        <v>#DIV/0!</v>
      </c>
      <c r="D53" s="81" t="e">
        <f>1-((D46-D51)/2)/((273.15+D32)-D46/2+5-(273.15+D38-5))</f>
        <v>#DIV/0!</v>
      </c>
      <c r="E53" s="81" t="e">
        <f>1-((E46-E51)/2)/((273.15+E32)-E46/2+5-(273.15+E38-5))</f>
        <v>#DIV/0!</v>
      </c>
      <c r="F53" s="81" t="e">
        <f>1-((F46-F51)/2)/((273.15+F32)-F46/2+5-(273.15+F38-5))</f>
        <v>#DIV/0!</v>
      </c>
      <c r="G53" s="81" t="e">
        <f>1-((G46-G51)/2)/((273.15+G32)-G46/2+5-(273.15+G38-5))</f>
        <v>#DIV/0!</v>
      </c>
      <c r="I53" s="529" t="s">
        <v>558</v>
      </c>
      <c r="J53" s="82"/>
    </row>
    <row r="54" spans="1:23">
      <c r="A54" s="80" t="s">
        <v>559</v>
      </c>
      <c r="B54" s="571" t="s">
        <v>555</v>
      </c>
      <c r="C54" s="534" t="e">
        <f>C33*C52</f>
        <v>#DIV/0!</v>
      </c>
      <c r="D54" s="534" t="e">
        <f>D33*D52</f>
        <v>#DIV/0!</v>
      </c>
      <c r="E54" s="534" t="e">
        <f t="shared" ref="D54:G55" si="30">E33*E52</f>
        <v>#DIV/0!</v>
      </c>
      <c r="F54" s="534" t="e">
        <f t="shared" si="30"/>
        <v>#DIV/0!</v>
      </c>
      <c r="G54" s="534" t="e">
        <f t="shared" si="30"/>
        <v>#DIV/0!</v>
      </c>
      <c r="J54" s="82"/>
    </row>
    <row r="55" spans="1:23">
      <c r="A55" s="80" t="s">
        <v>560</v>
      </c>
      <c r="B55" s="571" t="s">
        <v>555</v>
      </c>
      <c r="C55" s="81" t="e">
        <f>C34*C53</f>
        <v>#DIV/0!</v>
      </c>
      <c r="D55" s="81" t="e">
        <f t="shared" si="30"/>
        <v>#DIV/0!</v>
      </c>
      <c r="E55" s="81" t="e">
        <f t="shared" si="30"/>
        <v>#DIV/0!</v>
      </c>
      <c r="F55" s="81" t="e">
        <f t="shared" si="30"/>
        <v>#DIV/0!</v>
      </c>
      <c r="G55" s="81" t="e">
        <f>G34*G53</f>
        <v>#DIV/0!</v>
      </c>
      <c r="J55" s="82"/>
    </row>
    <row r="56" spans="1:23" ht="78">
      <c r="A56" s="80" t="s">
        <v>561</v>
      </c>
      <c r="B56" s="529" t="s">
        <v>562</v>
      </c>
      <c r="C56" s="81" t="e">
        <f>MAX(0.5,IF($C$29="Error",IF($E$99="Fixed Outlet",C54,C54*(((273.15+C37)*(C31-C6))/((273.15+C31)*(C37-C38)))),((C55-C54)/(C32-C31))*(C39-C31)+C54))</f>
        <v>#DIV/0!</v>
      </c>
      <c r="D56" s="81" t="e">
        <f t="shared" ref="D56:G56" si="31">MAX(0.5,IF($C$29="Error",IF($E$99="Fixed Outlet",D54,D54*(((273.15+D37)*(D31-D6))/((273.15+D31)*(D37-D38)))),((D55-D54)/(D32-D31))*(D39-D31)+D54))</f>
        <v>#DIV/0!</v>
      </c>
      <c r="E56" s="81" t="e">
        <f t="shared" si="31"/>
        <v>#DIV/0!</v>
      </c>
      <c r="F56" s="81" t="e">
        <f t="shared" si="31"/>
        <v>#DIV/0!</v>
      </c>
      <c r="G56" s="81" t="e">
        <f t="shared" si="31"/>
        <v>#DIV/0!</v>
      </c>
      <c r="H56" s="81" t="s">
        <v>23</v>
      </c>
      <c r="I56" s="529" t="s">
        <v>563</v>
      </c>
      <c r="J56" s="82" t="s">
        <v>23</v>
      </c>
    </row>
    <row r="57" spans="1:23" ht="36" customHeight="1">
      <c r="A57" s="523" t="s">
        <v>23</v>
      </c>
      <c r="B57" s="523" t="s">
        <v>23</v>
      </c>
      <c r="C57" s="523" t="s">
        <v>23</v>
      </c>
      <c r="D57" s="523" t="s">
        <v>23</v>
      </c>
      <c r="E57" s="523" t="s">
        <v>23</v>
      </c>
      <c r="F57" s="523" t="s">
        <v>23</v>
      </c>
      <c r="G57" s="523" t="s">
        <v>23</v>
      </c>
      <c r="H57" s="523" t="s">
        <v>23</v>
      </c>
      <c r="J57" s="82"/>
    </row>
    <row r="58" spans="1:23">
      <c r="A58" s="80" t="s">
        <v>564</v>
      </c>
      <c r="C58" s="80" t="s">
        <v>565</v>
      </c>
      <c r="J58" s="82"/>
    </row>
    <row r="59" spans="1:23">
      <c r="J59" s="82"/>
    </row>
    <row r="60" spans="1:23">
      <c r="A60" s="80" t="s">
        <v>566</v>
      </c>
      <c r="B60" s="80" t="s">
        <v>92</v>
      </c>
      <c r="C60" s="81" t="e">
        <f>C8</f>
        <v>#DIV/0!</v>
      </c>
      <c r="D60" s="81" t="e">
        <f>D8</f>
        <v>#DIV/0!</v>
      </c>
      <c r="E60" s="81" t="e">
        <f>E8</f>
        <v>#DIV/0!</v>
      </c>
      <c r="F60" s="81" t="e">
        <f>F8</f>
        <v>#DIV/0!</v>
      </c>
      <c r="G60" s="81" t="e">
        <f>G8</f>
        <v>#DIV/0!</v>
      </c>
      <c r="H60" s="81" t="e">
        <f>SUM(C60:G60)</f>
        <v>#DIV/0!</v>
      </c>
      <c r="J60" s="82"/>
    </row>
    <row r="61" spans="1:23" ht="25.5">
      <c r="A61" s="82" t="s">
        <v>567</v>
      </c>
      <c r="B61" s="80" t="s">
        <v>92</v>
      </c>
      <c r="C61" s="534" t="e">
        <f>SUM(AC4:AC7)</f>
        <v>#VALUE!</v>
      </c>
      <c r="D61" s="534" t="e">
        <f>SUM(AC8:AC13)</f>
        <v>#VALUE!</v>
      </c>
      <c r="E61" s="534" t="e">
        <f>SUM(AC14:AC20)</f>
        <v>#VALUE!</v>
      </c>
      <c r="F61" s="534" t="e">
        <f>SUM(AC21:AC25)</f>
        <v>#VALUE!</v>
      </c>
      <c r="G61" s="534" t="e">
        <f>SUM(AC26:AC31)</f>
        <v>#VALUE!</v>
      </c>
      <c r="H61" s="534" t="e">
        <f>SUM(C61:G61)</f>
        <v>#VALUE!</v>
      </c>
      <c r="I61" s="536"/>
      <c r="J61" s="82"/>
      <c r="N61" s="523"/>
    </row>
    <row r="62" spans="1:23" ht="36.6" customHeight="1">
      <c r="A62" s="82" t="s">
        <v>568</v>
      </c>
      <c r="B62" s="80" t="s">
        <v>92</v>
      </c>
      <c r="C62" s="80" t="e">
        <f t="shared" ref="C62:H62" si="32">C61/$E$118</f>
        <v>#VALUE!</v>
      </c>
      <c r="D62" s="80" t="e">
        <f t="shared" si="32"/>
        <v>#VALUE!</v>
      </c>
      <c r="E62" s="80" t="e">
        <f t="shared" si="32"/>
        <v>#VALUE!</v>
      </c>
      <c r="F62" s="80" t="e">
        <f t="shared" si="32"/>
        <v>#VALUE!</v>
      </c>
      <c r="G62" s="80" t="e">
        <f t="shared" si="32"/>
        <v>#VALUE!</v>
      </c>
      <c r="H62" s="80" t="e">
        <f t="shared" si="32"/>
        <v>#VALUE!</v>
      </c>
      <c r="I62" s="527" t="s">
        <v>569</v>
      </c>
      <c r="J62" s="82"/>
    </row>
    <row r="63" spans="1:23">
      <c r="A63" s="80" t="s">
        <v>570</v>
      </c>
      <c r="J63" s="82"/>
    </row>
    <row r="64" spans="1:23">
      <c r="A64" s="80" t="s">
        <v>571</v>
      </c>
      <c r="J64" s="82"/>
    </row>
    <row r="65" spans="1:29">
      <c r="A65" s="80" t="s">
        <v>572</v>
      </c>
      <c r="J65" s="82"/>
    </row>
    <row r="66" spans="1:29">
      <c r="J66" s="82"/>
    </row>
    <row r="67" spans="1:29" ht="25.5">
      <c r="A67" s="527" t="s">
        <v>573</v>
      </c>
      <c r="B67" s="80" t="s">
        <v>92</v>
      </c>
      <c r="C67" s="534" t="e">
        <f>(C60-C61)/C56</f>
        <v>#DIV/0!</v>
      </c>
      <c r="D67" s="534" t="e">
        <f>(D60-D61)/D56</f>
        <v>#DIV/0!</v>
      </c>
      <c r="E67" s="534" t="e">
        <f>(E60-E61)/E56</f>
        <v>#DIV/0!</v>
      </c>
      <c r="F67" s="534" t="e">
        <f>(F60-F61)/F56</f>
        <v>#DIV/0!</v>
      </c>
      <c r="G67" s="534" t="e">
        <f>(G60-G61)/G56</f>
        <v>#DIV/0!</v>
      </c>
      <c r="H67" s="534" t="e">
        <f>SUM(C67:G67)</f>
        <v>#DIV/0!</v>
      </c>
      <c r="J67" s="82"/>
    </row>
    <row r="68" spans="1:29">
      <c r="A68" s="82"/>
      <c r="J68" s="82"/>
    </row>
    <row r="69" spans="1:29" ht="25.5">
      <c r="A69" s="527" t="s">
        <v>574</v>
      </c>
      <c r="B69" s="80" t="s">
        <v>92</v>
      </c>
      <c r="C69" s="534" t="e">
        <f>C62+C67</f>
        <v>#VALUE!</v>
      </c>
      <c r="D69" s="534" t="e">
        <f>D62+D67</f>
        <v>#VALUE!</v>
      </c>
      <c r="E69" s="534" t="e">
        <f>E62+E67</f>
        <v>#VALUE!</v>
      </c>
      <c r="F69" s="534" t="e">
        <f>F62+F67</f>
        <v>#VALUE!</v>
      </c>
      <c r="G69" s="534" t="e">
        <f>G62+G67</f>
        <v>#VALUE!</v>
      </c>
      <c r="H69" s="534" t="e">
        <f>SUM(C69:G69)</f>
        <v>#VALUE!</v>
      </c>
      <c r="J69" s="82"/>
    </row>
    <row r="70" spans="1:29">
      <c r="J70" s="82"/>
    </row>
    <row r="71" spans="1:29">
      <c r="A71" s="80" t="s">
        <v>575</v>
      </c>
      <c r="H71" s="573" t="e">
        <f>H60/H69</f>
        <v>#DIV/0!</v>
      </c>
      <c r="J71" s="82"/>
    </row>
    <row r="72" spans="1:29">
      <c r="J72" s="82"/>
    </row>
    <row r="73" spans="1:29" s="574" customFormat="1">
      <c r="A73" s="574" t="s">
        <v>576</v>
      </c>
      <c r="H73" s="574" t="e">
        <f>IF(H71&gt;2.5,(H71-2.5)*H69,0)</f>
        <v>#DIV/0!</v>
      </c>
      <c r="I73" s="574" t="s">
        <v>92</v>
      </c>
      <c r="J73" s="575"/>
      <c r="L73" s="575"/>
      <c r="AC73" s="575"/>
    </row>
    <row r="74" spans="1:29">
      <c r="J74" s="82"/>
    </row>
    <row r="75" spans="1:29">
      <c r="A75" s="80" t="s">
        <v>577</v>
      </c>
      <c r="B75" s="80" t="s">
        <v>92</v>
      </c>
      <c r="C75" s="81" t="e">
        <f>C60-C61</f>
        <v>#DIV/0!</v>
      </c>
      <c r="D75" s="81" t="e">
        <f>D60-D61</f>
        <v>#DIV/0!</v>
      </c>
      <c r="E75" s="81" t="e">
        <f>E60-E61</f>
        <v>#DIV/0!</v>
      </c>
      <c r="F75" s="81" t="e">
        <f>F60-F61</f>
        <v>#DIV/0!</v>
      </c>
      <c r="G75" s="81" t="e">
        <f>G60-G61</f>
        <v>#DIV/0!</v>
      </c>
      <c r="H75" s="81" t="e">
        <f>SUM(C75:G75)</f>
        <v>#DIV/0!</v>
      </c>
      <c r="J75" s="82"/>
      <c r="N75" s="82"/>
    </row>
    <row r="76" spans="1:29">
      <c r="J76" s="82"/>
    </row>
    <row r="77" spans="1:29">
      <c r="A77" s="80" t="s">
        <v>578</v>
      </c>
      <c r="H77" s="576" t="e">
        <f>H75/H67</f>
        <v>#DIV/0!</v>
      </c>
      <c r="J77" s="82"/>
    </row>
    <row r="78" spans="1:29">
      <c r="J78" s="82"/>
    </row>
    <row r="79" spans="1:29">
      <c r="A79" s="80" t="s">
        <v>579</v>
      </c>
      <c r="C79" s="3" t="e">
        <f>(C60-C61)-C67</f>
        <v>#DIV/0!</v>
      </c>
      <c r="D79" s="3" t="e">
        <f t="shared" ref="D79:H79" si="33">(D60-D61)-D67</f>
        <v>#DIV/0!</v>
      </c>
      <c r="E79" s="3" t="e">
        <f t="shared" si="33"/>
        <v>#DIV/0!</v>
      </c>
      <c r="F79" s="3" t="e">
        <f t="shared" si="33"/>
        <v>#DIV/0!</v>
      </c>
      <c r="G79" s="3" t="e">
        <f>(G60-G61)-G67</f>
        <v>#DIV/0!</v>
      </c>
      <c r="H79" s="3" t="e">
        <f t="shared" si="33"/>
        <v>#DIV/0!</v>
      </c>
      <c r="I79" s="80" t="s">
        <v>92</v>
      </c>
      <c r="J79" s="82"/>
      <c r="N79" s="523"/>
    </row>
    <row r="80" spans="1:29">
      <c r="A80" t="s">
        <v>580</v>
      </c>
      <c r="B80"/>
      <c r="C80" s="577" t="e">
        <f>(C41*(1-1/C56)-($E$136*1.2/3600)*(20-(C3)))/(C41*(1-1/C56))</f>
        <v>#DIV/0!</v>
      </c>
      <c r="D80" s="577" t="e">
        <f>(D41*(1-1/D56)-($E$136*1.2/3600)*(20-(D3)))/(D41*(1-1/D56))</f>
        <v>#DIV/0!</v>
      </c>
      <c r="E80" s="577" t="e">
        <f>(E41*(1-1/E56)-($E$136*1.2/3600)*(20-(E3)))/(E41*(1-1/E56))</f>
        <v>#DIV/0!</v>
      </c>
      <c r="F80" s="577" t="e">
        <f>(F41*(1-1/F56)-($E$136*1.2/3600)*(20-(F3)))/(F41*(1-1/F56))</f>
        <v>#DIV/0!</v>
      </c>
      <c r="G80" s="577" t="e">
        <f>(G41*(1-1/G56)-($E$136*1.2/3600)*(20-(G3)))/(G41*(1-1/G56))</f>
        <v>#DIV/0!</v>
      </c>
      <c r="J80" s="82"/>
    </row>
    <row r="81" spans="1:14">
      <c r="J81" s="82"/>
    </row>
    <row r="82" spans="1:14">
      <c r="A82" s="523" t="s">
        <v>581</v>
      </c>
      <c r="C82" t="e">
        <f>C79*C80</f>
        <v>#DIV/0!</v>
      </c>
      <c r="D82" t="e">
        <f t="shared" ref="D82:G82" si="34">D79*D80</f>
        <v>#DIV/0!</v>
      </c>
      <c r="E82" t="e">
        <f t="shared" si="34"/>
        <v>#DIV/0!</v>
      </c>
      <c r="F82" t="e">
        <f t="shared" si="34"/>
        <v>#DIV/0!</v>
      </c>
      <c r="G82" t="e">
        <f t="shared" si="34"/>
        <v>#DIV/0!</v>
      </c>
      <c r="H82" s="578" t="e">
        <f>SUM(C82:G82)</f>
        <v>#DIV/0!</v>
      </c>
      <c r="I82" s="80" t="s">
        <v>582</v>
      </c>
      <c r="J82" s="82"/>
      <c r="N82" s="523"/>
    </row>
    <row r="83" spans="1:14">
      <c r="J83" s="82"/>
    </row>
    <row r="84" spans="1:14">
      <c r="J84" s="82"/>
    </row>
    <row r="85" spans="1:14">
      <c r="H85" s="579">
        <f>IF(LEFT(E98,7)="Exhaust",H82/H79,1)</f>
        <v>1</v>
      </c>
      <c r="I85" s="80" t="s">
        <v>583</v>
      </c>
      <c r="J85" s="82"/>
    </row>
    <row r="86" spans="1:14">
      <c r="H86" s="81"/>
      <c r="J86" s="82"/>
    </row>
    <row r="87" spans="1:14">
      <c r="J87" s="82"/>
    </row>
    <row r="88" spans="1:14">
      <c r="J88" s="82"/>
    </row>
    <row r="89" spans="1:14" ht="25.5">
      <c r="A89" s="283" t="s">
        <v>429</v>
      </c>
      <c r="B89" s="284" t="s">
        <v>430</v>
      </c>
      <c r="C89" s="284" t="s">
        <v>431</v>
      </c>
      <c r="D89" s="284" t="s">
        <v>432</v>
      </c>
      <c r="E89" s="580"/>
      <c r="F89" s="580"/>
      <c r="G89" s="580"/>
      <c r="H89" s="580"/>
      <c r="I89" s="274"/>
      <c r="J89" s="82"/>
    </row>
    <row r="90" spans="1:14" ht="60" customHeight="1">
      <c r="A90" s="276" t="s">
        <v>584</v>
      </c>
      <c r="B90" s="276" t="str">
        <f>RIGHT(B89)</f>
        <v>1</v>
      </c>
      <c r="C90" s="276" t="str">
        <f>RIGHT(C89)</f>
        <v>2</v>
      </c>
      <c r="D90" s="276" t="str">
        <f>RIGHT(D89)</f>
        <v>3</v>
      </c>
      <c r="E90" s="276" t="s">
        <v>434</v>
      </c>
      <c r="F90" s="277" t="s">
        <v>177</v>
      </c>
      <c r="G90" s="277" t="s">
        <v>178</v>
      </c>
      <c r="H90" s="277" t="s">
        <v>435</v>
      </c>
      <c r="I90" s="82"/>
      <c r="J90" s="82"/>
    </row>
    <row r="91" spans="1:14" ht="15.75">
      <c r="A91" s="282" t="str">
        <f>HP_1!O12</f>
        <v>Same HP for Space and Water Heating</v>
      </c>
      <c r="B91" s="581" t="b">
        <f>HP_1!N12</f>
        <v>1</v>
      </c>
      <c r="C91" s="279" t="b" cm="1">
        <f t="array" aca="1" ref="C91" ca="1">INDIRECT($F91&amp;C$90&amp;"!"&amp;$G91)</f>
        <v>1</v>
      </c>
      <c r="D91" s="279" t="b" cm="1">
        <f t="array" aca="1" ref="D91" ca="1">INDIRECT($F91&amp;D$90&amp;"!"&amp;$G91)</f>
        <v>1</v>
      </c>
      <c r="E91" s="293" t="b">
        <f>VLOOKUP(A91,A91:D91,$K$1+1,FALSE)</f>
        <v>1</v>
      </c>
      <c r="F91" s="280" t="str">
        <f ca="1">LEFT(H91,FIND("1",H91)-1)</f>
        <v>HP_</v>
      </c>
      <c r="G91" s="280" t="str">
        <f ca="1">RIGHT(H91,LEN(H91)-FIND("!",H91))</f>
        <v>N12</v>
      </c>
      <c r="H91" s="281" t="str">
        <f ca="1">SUBSTITUTE( _xlfn.FORMULATEXT(B91),"=","")</f>
        <v>HP_1!N12</v>
      </c>
    </row>
    <row r="92" spans="1:14" ht="15.75">
      <c r="A92" s="282" t="str">
        <f>HP_1!A3</f>
        <v>Total heat loss (W/K) taken from DEAP</v>
      </c>
      <c r="B92" s="278">
        <f>HP_1!B3</f>
        <v>0</v>
      </c>
      <c r="C92" s="279" cm="1">
        <f t="array" aca="1" ref="C92" ca="1">INDIRECT($F92&amp;C$90&amp;"!"&amp;$G92)</f>
        <v>0</v>
      </c>
      <c r="D92" s="279" cm="1">
        <f t="array" aca="1" ref="D92" ca="1">INDIRECT($F92&amp;D$90&amp;"!"&amp;$G92)</f>
        <v>0</v>
      </c>
      <c r="E92" s="294">
        <f>VLOOKUP(A92,A92:D92,$K$1+1,FALSE)</f>
        <v>0</v>
      </c>
      <c r="F92" s="280" t="str">
        <f ca="1">LEFT(H92,FIND("1",H92)-1)</f>
        <v>HP_</v>
      </c>
      <c r="G92" s="280" t="str">
        <f ca="1">RIGHT(H92,LEN(H92)-FIND("!",H92))</f>
        <v>B3</v>
      </c>
      <c r="H92" s="281" t="str">
        <f ca="1">SUBSTITUTE( _xlfn.FORMULATEXT(B92),"=","")</f>
        <v>HP_1!B3</v>
      </c>
    </row>
    <row r="93" spans="1:14" ht="60">
      <c r="A93" s="282" t="str">
        <f>HP_1!A4</f>
        <v>Heat Loss Watts</v>
      </c>
      <c r="B93" s="581" t="str">
        <f>HP_1!B4</f>
        <v>Please complete DEAPEntries tab</v>
      </c>
      <c r="C93" s="279" t="str" cm="1">
        <f t="array" aca="1" ref="C93" ca="1">INDIRECT($F93&amp;C$90&amp;"!"&amp;$G93)</f>
        <v>Please complete DEAPEntries tab</v>
      </c>
      <c r="D93" s="279" t="str" cm="1">
        <f t="array" aca="1" ref="D93" ca="1">INDIRECT($F93&amp;D$90&amp;"!"&amp;$G93)</f>
        <v>Please complete DEAPEntries tab</v>
      </c>
      <c r="E93" s="294" t="str">
        <f t="shared" ref="E93:E97" si="35">VLOOKUP(A93,A93:D93,$K$1+1,FALSE)</f>
        <v>Please complete DEAPEntries tab</v>
      </c>
      <c r="F93" s="280" t="str">
        <f t="shared" ref="F93:F97" ca="1" si="36">LEFT(H93,FIND("1",H93)-1)</f>
        <v>HP_</v>
      </c>
      <c r="G93" s="280" t="str">
        <f t="shared" ref="G93:G97" ca="1" si="37">RIGHT(H93,LEN(H93)-FIND("!",H93))</f>
        <v>B4</v>
      </c>
      <c r="H93" s="281" t="str">
        <f t="shared" ref="H93:H97" ca="1" si="38">SUBSTITUTE( _xlfn.FORMULATEXT(B93),"=","")</f>
        <v>HP_1!B4</v>
      </c>
    </row>
    <row r="94" spans="1:14" ht="31.5">
      <c r="A94" s="282" t="str">
        <f>HP_1!A5</f>
        <v>Is this Heat Pump part of a Group Heating Scheme</v>
      </c>
      <c r="B94" s="581" t="str">
        <f>HP_1!B5</f>
        <v>Yes</v>
      </c>
      <c r="C94" s="279" t="str" cm="1">
        <f t="array" aca="1" ref="C94" ca="1">INDIRECT($F94&amp;C$90&amp;"!"&amp;$G94)</f>
        <v>No</v>
      </c>
      <c r="D94" s="279" t="str" cm="1">
        <f t="array" aca="1" ref="D94" ca="1">INDIRECT($F94&amp;D$90&amp;"!"&amp;$G94)</f>
        <v>No</v>
      </c>
      <c r="E94" s="295" t="str">
        <f t="shared" si="35"/>
        <v>Yes</v>
      </c>
      <c r="F94" s="280" t="str">
        <f t="shared" ca="1" si="36"/>
        <v>HP_</v>
      </c>
      <c r="G94" s="280" t="str">
        <f t="shared" ca="1" si="37"/>
        <v>B5</v>
      </c>
      <c r="H94" s="281" t="str">
        <f t="shared" ca="1" si="38"/>
        <v>HP_1!B5</v>
      </c>
    </row>
    <row r="95" spans="1:14" ht="31.5">
      <c r="A95" s="282" t="str">
        <f>HP_1!A6</f>
        <v>Proportion of main space heating provided by this heat pump</v>
      </c>
      <c r="B95" s="581">
        <f>HP_1!B6</f>
        <v>1</v>
      </c>
      <c r="C95" s="279" cm="1">
        <f t="array" aca="1" ref="C95" ca="1">INDIRECT($F95&amp;C$90&amp;"!"&amp;$G95)</f>
        <v>0</v>
      </c>
      <c r="D95" s="279" cm="1">
        <f t="array" aca="1" ref="D95" ca="1">INDIRECT($F95&amp;D$90&amp;"!"&amp;$G95)</f>
        <v>0</v>
      </c>
      <c r="E95" s="296">
        <f t="shared" si="35"/>
        <v>1</v>
      </c>
      <c r="F95" s="280" t="str">
        <f t="shared" ca="1" si="36"/>
        <v>HP_</v>
      </c>
      <c r="G95" s="280" t="str">
        <f t="shared" ca="1" si="37"/>
        <v>B6</v>
      </c>
      <c r="H95" s="281" t="str">
        <f t="shared" ca="1" si="38"/>
        <v>HP_1!B6</v>
      </c>
    </row>
    <row r="96" spans="1:14" ht="15.75">
      <c r="A96" s="282" t="str">
        <f>HP_1!A7</f>
        <v>Floor Area of Dwelling</v>
      </c>
      <c r="B96" s="581">
        <f>HP_1!B7</f>
        <v>0</v>
      </c>
      <c r="C96" s="279" cm="1">
        <f t="array" aca="1" ref="C96" ca="1">INDIRECT($F96&amp;C$90&amp;"!"&amp;$G96)</f>
        <v>0</v>
      </c>
      <c r="D96" s="279" cm="1">
        <f t="array" aca="1" ref="D96" ca="1">INDIRECT($F96&amp;D$90&amp;"!"&amp;$G96)</f>
        <v>0</v>
      </c>
      <c r="E96" s="295">
        <f t="shared" si="35"/>
        <v>0</v>
      </c>
      <c r="F96" s="280" t="str">
        <f t="shared" ca="1" si="36"/>
        <v>HP_</v>
      </c>
      <c r="G96" s="280" t="str">
        <f t="shared" ca="1" si="37"/>
        <v>B7</v>
      </c>
      <c r="H96" s="281" t="str">
        <f t="shared" ca="1" si="38"/>
        <v>HP_1!B7</v>
      </c>
    </row>
    <row r="97" spans="1:8" ht="31.5">
      <c r="A97" s="282" t="str">
        <f>HP_1!A8</f>
        <v>If Heat Pump serves a Group Heat Scheme, the total Floor Area served by Heat Pump is:</v>
      </c>
      <c r="B97" s="581">
        <f>HP_1!B8</f>
        <v>0</v>
      </c>
      <c r="C97" s="279" cm="1">
        <f t="array" aca="1" ref="C97" ca="1">INDIRECT($F97&amp;C$90&amp;"!"&amp;$G97)</f>
        <v>0</v>
      </c>
      <c r="D97" s="279" cm="1">
        <f t="array" aca="1" ref="D97" ca="1">INDIRECT($F97&amp;D$90&amp;"!"&amp;$G97)</f>
        <v>0</v>
      </c>
      <c r="E97" s="295">
        <f t="shared" si="35"/>
        <v>0</v>
      </c>
      <c r="F97" s="280" t="str">
        <f t="shared" ca="1" si="36"/>
        <v>HP_</v>
      </c>
      <c r="G97" s="280" t="str">
        <f t="shared" ca="1" si="37"/>
        <v>B8</v>
      </c>
      <c r="H97" s="281" t="str">
        <f t="shared" ca="1" si="38"/>
        <v>HP_1!B8</v>
      </c>
    </row>
    <row r="98" spans="1:8" ht="15.75">
      <c r="A98" s="282" t="str">
        <f>HP_1!A12</f>
        <v>Type of heat pump</v>
      </c>
      <c r="B98" s="581" t="str">
        <f>HP_1!B12</f>
        <v>Air to Water</v>
      </c>
      <c r="C98" s="279" t="str" cm="1">
        <f t="array" aca="1" ref="C98" ca="1">INDIRECT($F98&amp;C$90&amp;"!"&amp;$G98)</f>
        <v>Air to Water</v>
      </c>
      <c r="D98" s="279" t="str" cm="1">
        <f t="array" aca="1" ref="D98" ca="1">INDIRECT($F98&amp;D$90&amp;"!"&amp;$G98)</f>
        <v>Air to Water</v>
      </c>
      <c r="E98" s="295" t="str">
        <f t="shared" ref="E98:E135" si="39">VLOOKUP(A98,A98:D98,$K$1+1,FALSE)</f>
        <v>Air to Water</v>
      </c>
      <c r="F98" s="280" t="str">
        <f t="shared" ref="F98:F135" ca="1" si="40">LEFT(H98,FIND("1",H98)-1)</f>
        <v>HP_</v>
      </c>
      <c r="G98" s="280" t="str">
        <f t="shared" ref="G98:G135" ca="1" si="41">RIGHT(H98,LEN(H98)-FIND("!",H98))</f>
        <v>B12</v>
      </c>
      <c r="H98" s="281" t="str">
        <f t="shared" ref="H98:H135" ca="1" si="42">SUBSTITUTE( _xlfn.FORMULATEXT(B98),"=","")</f>
        <v>HP_1!B12</v>
      </c>
    </row>
    <row r="99" spans="1:8" ht="47.25">
      <c r="A99" s="282" t="str">
        <f>HP_1!A13</f>
        <v>Temperature Control 
(refered to as Capacity Control in Ecodesign Standard Template)</v>
      </c>
      <c r="B99" s="581" t="str">
        <f>HP_1!B13</f>
        <v>Fixed Outlet</v>
      </c>
      <c r="C99" s="279" t="str" cm="1">
        <f t="array" aca="1" ref="C99" ca="1">INDIRECT($F99&amp;C$90&amp;"!"&amp;$G99)</f>
        <v>Fixed Outlet</v>
      </c>
      <c r="D99" s="279" t="str" cm="1">
        <f t="array" aca="1" ref="D99" ca="1">INDIRECT($F99&amp;D$90&amp;"!"&amp;$G99)</f>
        <v>Fixed Outlet</v>
      </c>
      <c r="E99" s="295" t="str">
        <f t="shared" si="39"/>
        <v>Fixed Outlet</v>
      </c>
      <c r="F99" s="280" t="str">
        <f t="shared" ca="1" si="40"/>
        <v>HP_</v>
      </c>
      <c r="G99" s="280" t="str">
        <f t="shared" ca="1" si="41"/>
        <v>B13</v>
      </c>
      <c r="H99" s="281" t="str">
        <f t="shared" ca="1" si="42"/>
        <v>HP_1!B13</v>
      </c>
    </row>
    <row r="100" spans="1:8" ht="15.75">
      <c r="A100" s="282" t="str">
        <f>HP_1!A14</f>
        <v>Space Heating Test Standard</v>
      </c>
      <c r="B100" s="278" t="str">
        <f>HP_1!B14</f>
        <v>I.S. EN 14825</v>
      </c>
      <c r="C100" s="279" t="str" cm="1">
        <f t="array" aca="1" ref="C100" ca="1">INDIRECT($F100&amp;C$90&amp;"!"&amp;$G100)</f>
        <v>I.S. EN 14825</v>
      </c>
      <c r="D100" s="279" t="str" cm="1">
        <f t="array" aca="1" ref="D100" ca="1">INDIRECT($F100&amp;D$90&amp;"!"&amp;$G100)</f>
        <v>I.S. EN 14825</v>
      </c>
      <c r="E100" s="293" t="str">
        <f t="shared" si="39"/>
        <v>I.S. EN 14825</v>
      </c>
      <c r="F100" s="280" t="str">
        <f t="shared" ca="1" si="40"/>
        <v>HP_</v>
      </c>
      <c r="G100" s="280" t="str">
        <f t="shared" ca="1" si="41"/>
        <v>B14</v>
      </c>
      <c r="H100" s="281" t="str">
        <f t="shared" ca="1" si="42"/>
        <v>HP_1!B14</v>
      </c>
    </row>
    <row r="101" spans="1:8" ht="15.75">
      <c r="A101" s="282" t="str">
        <f>HP_1!A15</f>
        <v>Operation Limit Temperature (TOL)</v>
      </c>
      <c r="B101" s="278" t="str">
        <f>HP_1!B15</f>
        <v xml:space="preserve"> </v>
      </c>
      <c r="C101" s="279" cm="1">
        <f t="array" aca="1" ref="C101" ca="1">INDIRECT($F101&amp;C$90&amp;"!"&amp;$G101)</f>
        <v>0</v>
      </c>
      <c r="D101" s="279" cm="1">
        <f t="array" aca="1" ref="D101" ca="1">INDIRECT($F101&amp;D$90&amp;"!"&amp;$G101)</f>
        <v>0</v>
      </c>
      <c r="E101" s="293" t="str">
        <f t="shared" si="39"/>
        <v xml:space="preserve"> </v>
      </c>
      <c r="F101" s="280" t="str">
        <f t="shared" ca="1" si="40"/>
        <v>HP_</v>
      </c>
      <c r="G101" s="280" t="str">
        <f t="shared" ca="1" si="41"/>
        <v>B15</v>
      </c>
      <c r="H101" s="281" t="str">
        <f t="shared" ca="1" si="42"/>
        <v>HP_1!B15</v>
      </c>
    </row>
    <row r="102" spans="1:8" ht="31.5">
      <c r="A102" s="282" t="str">
        <f>HP_1!A16</f>
        <v>Heating water operating limit temperature (WTOL)</v>
      </c>
      <c r="B102" s="278" t="str">
        <f>HP_1!B16</f>
        <v xml:space="preserve"> </v>
      </c>
      <c r="C102" s="279" cm="1">
        <f t="array" aca="1" ref="C102" ca="1">INDIRECT($F102&amp;C$90&amp;"!"&amp;$G102)</f>
        <v>0</v>
      </c>
      <c r="D102" s="279" cm="1">
        <f t="array" aca="1" ref="D102" ca="1">INDIRECT($F102&amp;D$90&amp;"!"&amp;$G102)</f>
        <v>0</v>
      </c>
      <c r="E102" s="293" t="str">
        <f t="shared" si="39"/>
        <v xml:space="preserve"> </v>
      </c>
      <c r="F102" s="280" t="str">
        <f t="shared" ca="1" si="40"/>
        <v>HP_</v>
      </c>
      <c r="G102" s="280" t="str">
        <f t="shared" ca="1" si="41"/>
        <v>B16</v>
      </c>
      <c r="H102" s="281" t="str">
        <f t="shared" ca="1" si="42"/>
        <v>HP_1!B16</v>
      </c>
    </row>
    <row r="103" spans="1:8" ht="15.75">
      <c r="A103" s="282" t="str">
        <f>HP_1!A17</f>
        <v>Annual space heating provided by Heat Pump</v>
      </c>
      <c r="B103" s="278">
        <f>HP_1!B17</f>
        <v>0</v>
      </c>
      <c r="C103" s="279" cm="1">
        <f t="array" aca="1" ref="C103" ca="1">INDIRECT($F103&amp;C$90&amp;"!"&amp;$G103)</f>
        <v>0</v>
      </c>
      <c r="D103" s="279" cm="1">
        <f t="array" aca="1" ref="D103" ca="1">INDIRECT($F103&amp;D$90&amp;"!"&amp;$G103)</f>
        <v>0</v>
      </c>
      <c r="E103" s="297">
        <f t="shared" si="39"/>
        <v>0</v>
      </c>
      <c r="F103" s="280" t="str">
        <f t="shared" ca="1" si="40"/>
        <v>HP_</v>
      </c>
      <c r="G103" s="280" t="str">
        <f t="shared" ca="1" si="41"/>
        <v>B17</v>
      </c>
      <c r="H103" s="281" t="str">
        <f t="shared" ca="1" si="42"/>
        <v>HP_1!B17</v>
      </c>
    </row>
    <row r="104" spans="1:8" ht="15.75">
      <c r="A104" s="282" t="str">
        <f>HP_1!A18</f>
        <v>Design Outdoor Temperature</v>
      </c>
      <c r="B104" s="581">
        <f>HP_1!B18</f>
        <v>-3</v>
      </c>
      <c r="C104" s="279" cm="1">
        <f t="array" aca="1" ref="C104" ca="1">INDIRECT($F104&amp;C$90&amp;"!"&amp;$G104)</f>
        <v>-3</v>
      </c>
      <c r="D104" s="279" cm="1">
        <f t="array" aca="1" ref="D104" ca="1">INDIRECT($F104&amp;D$90&amp;"!"&amp;$G104)</f>
        <v>-3</v>
      </c>
      <c r="E104" s="293">
        <f t="shared" si="39"/>
        <v>-3</v>
      </c>
      <c r="F104" s="280" t="str">
        <f t="shared" ca="1" si="40"/>
        <v>HP_</v>
      </c>
      <c r="G104" s="280" t="str">
        <f t="shared" ca="1" si="41"/>
        <v>B18</v>
      </c>
      <c r="H104" s="281" t="str">
        <f t="shared" ca="1" si="42"/>
        <v>HP_1!B18</v>
      </c>
    </row>
    <row r="105" spans="1:8" ht="31.5">
      <c r="A105" s="282" t="str">
        <f>HP_1!A19</f>
        <v>Indoor Design Temperature (Mean Internal Temperature)</v>
      </c>
      <c r="B105" s="582" t="str">
        <f>HP_1!B19</f>
        <v>Please complete DEAP Entries tab</v>
      </c>
      <c r="C105" s="279" t="str" cm="1">
        <f t="array" aca="1" ref="C105" ca="1">INDIRECT($F105&amp;C$90&amp;"!"&amp;$G105)</f>
        <v>Please complete DEAP Entries tab</v>
      </c>
      <c r="D105" s="279" t="str" cm="1">
        <f t="array" aca="1" ref="D105" ca="1">INDIRECT($F105&amp;D$90&amp;"!"&amp;$G105)</f>
        <v>Please complete DEAP Entries tab</v>
      </c>
      <c r="E105" s="293" t="str">
        <f t="shared" si="39"/>
        <v>Please complete DEAP Entries tab</v>
      </c>
      <c r="F105" s="280" t="str">
        <f t="shared" ca="1" si="40"/>
        <v>HP_</v>
      </c>
      <c r="G105" s="280" t="str">
        <f t="shared" ca="1" si="41"/>
        <v>B19</v>
      </c>
      <c r="H105" s="281" t="str">
        <f t="shared" ca="1" si="42"/>
        <v>HP_1!B19</v>
      </c>
    </row>
    <row r="106" spans="1:8" ht="15.75">
      <c r="A106" s="282" t="str">
        <f>HP_1!A24</f>
        <v>Air used as Emitter (to Air Units)</v>
      </c>
      <c r="B106" s="581" t="str">
        <f>HP_1!B24</f>
        <v>No</v>
      </c>
      <c r="C106" s="279" t="str" cm="1">
        <f t="array" aca="1" ref="C106" ca="1">INDIRECT($F106&amp;C$90&amp;"!"&amp;$G106)</f>
        <v>No</v>
      </c>
      <c r="D106" s="279" t="str" cm="1">
        <f t="array" aca="1" ref="D106" ca="1">INDIRECT($F106&amp;D$90&amp;"!"&amp;$G106)</f>
        <v>No</v>
      </c>
      <c r="E106" s="293" t="str">
        <f t="shared" si="39"/>
        <v>No</v>
      </c>
      <c r="F106" s="280" t="str">
        <f t="shared" ca="1" si="40"/>
        <v>HP_</v>
      </c>
      <c r="G106" s="280" t="str">
        <f t="shared" ca="1" si="41"/>
        <v>B24</v>
      </c>
      <c r="H106" s="281" t="str">
        <f t="shared" ca="1" si="42"/>
        <v>HP_1!B24</v>
      </c>
    </row>
    <row r="107" spans="1:8" ht="47.25">
      <c r="A107" s="282" t="str">
        <f>HP_1!A25</f>
        <v>Design Flow Temperature
Use "Default Supply Temperature" unless other evidence available</v>
      </c>
      <c r="B107" s="581">
        <f>HP_1!B25</f>
        <v>0</v>
      </c>
      <c r="C107" s="279" cm="1">
        <f t="array" aca="1" ref="C107" ca="1">INDIRECT($F107&amp;C$90&amp;"!"&amp;$G107)</f>
        <v>0</v>
      </c>
      <c r="D107" s="279" cm="1">
        <f t="array" aca="1" ref="D107" ca="1">INDIRECT($F107&amp;D$90&amp;"!"&amp;$G107)</f>
        <v>0</v>
      </c>
      <c r="E107" s="293">
        <f t="shared" si="39"/>
        <v>0</v>
      </c>
      <c r="F107" s="280" t="str">
        <f t="shared" ca="1" si="40"/>
        <v>HP_</v>
      </c>
      <c r="G107" s="280" t="str">
        <f t="shared" ca="1" si="41"/>
        <v>B25</v>
      </c>
      <c r="H107" s="281" t="str">
        <f t="shared" ca="1" si="42"/>
        <v>HP_1!B25</v>
      </c>
    </row>
    <row r="108" spans="1:8" ht="31.5">
      <c r="A108" s="282" t="str">
        <f>HP_1!A26</f>
        <v>Exponent n, characterising type of emission system</v>
      </c>
      <c r="B108" s="581">
        <f>HP_1!B26</f>
        <v>1.2</v>
      </c>
      <c r="C108" s="279" cm="1">
        <f t="array" aca="1" ref="C108" ca="1">INDIRECT($F108&amp;C$90&amp;"!"&amp;$G108)</f>
        <v>1.2</v>
      </c>
      <c r="D108" s="279" cm="1">
        <f t="array" aca="1" ref="D108" ca="1">INDIRECT($F108&amp;D$90&amp;"!"&amp;$G108)</f>
        <v>1.2</v>
      </c>
      <c r="E108" s="293">
        <f t="shared" si="39"/>
        <v>1.2</v>
      </c>
      <c r="F108" s="280" t="str">
        <f t="shared" ca="1" si="40"/>
        <v>HP_</v>
      </c>
      <c r="G108" s="280" t="str">
        <f t="shared" ca="1" si="41"/>
        <v>B26</v>
      </c>
      <c r="H108" s="281" t="str">
        <f t="shared" ca="1" si="42"/>
        <v>HP_1!B26</v>
      </c>
    </row>
    <row r="109" spans="1:8" ht="15.75">
      <c r="A109" s="282" t="str">
        <f>HP_1!A27</f>
        <v>Emitter Temperature Drop</v>
      </c>
      <c r="B109" s="581">
        <f>HP_1!B27</f>
        <v>10</v>
      </c>
      <c r="C109" s="279" cm="1">
        <f t="array" aca="1" ref="C109" ca="1">INDIRECT($F109&amp;C$90&amp;"!"&amp;$G109)</f>
        <v>10</v>
      </c>
      <c r="D109" s="279" cm="1">
        <f t="array" aca="1" ref="D109" ca="1">INDIRECT($F109&amp;D$90&amp;"!"&amp;$G109)</f>
        <v>10</v>
      </c>
      <c r="E109" s="293">
        <f t="shared" si="39"/>
        <v>10</v>
      </c>
      <c r="F109" s="280" t="str">
        <f t="shared" ca="1" si="40"/>
        <v>HP_</v>
      </c>
      <c r="G109" s="280" t="str">
        <f t="shared" ca="1" si="41"/>
        <v>B27</v>
      </c>
      <c r="H109" s="281" t="str">
        <f t="shared" ca="1" si="42"/>
        <v>HP_1!B27</v>
      </c>
    </row>
    <row r="110" spans="1:8" ht="15.75">
      <c r="A110" s="282" t="str">
        <f>HP_1!A28</f>
        <v>Return Temperature at design conditions</v>
      </c>
      <c r="B110" s="581">
        <f>HP_1!B28</f>
        <v>-10</v>
      </c>
      <c r="C110" s="279" cm="1">
        <f t="array" aca="1" ref="C110" ca="1">INDIRECT($F110&amp;C$90&amp;"!"&amp;$G110)</f>
        <v>-10</v>
      </c>
      <c r="D110" s="279" cm="1">
        <f t="array" aca="1" ref="D110" ca="1">INDIRECT($F110&amp;D$90&amp;"!"&amp;$G110)</f>
        <v>-10</v>
      </c>
      <c r="E110" s="293">
        <f t="shared" si="39"/>
        <v>-10</v>
      </c>
      <c r="F110" s="280" t="str">
        <f t="shared" ca="1" si="40"/>
        <v>HP_</v>
      </c>
      <c r="G110" s="280" t="str">
        <f t="shared" ca="1" si="41"/>
        <v>B28</v>
      </c>
      <c r="H110" s="281" t="str">
        <f t="shared" ca="1" si="42"/>
        <v>HP_1!B28</v>
      </c>
    </row>
    <row r="111" spans="1:8" ht="15.75">
      <c r="A111" s="282" t="str">
        <f>HP_1!A29</f>
        <v>No of Hrs per Day Heat Pump in Operation</v>
      </c>
      <c r="B111" s="320">
        <f>HP_1!B29</f>
        <v>8</v>
      </c>
      <c r="C111" s="279" cm="1">
        <f t="array" aca="1" ref="C111" ca="1">INDIRECT($F111&amp;C$90&amp;"!"&amp;$G111)</f>
        <v>8</v>
      </c>
      <c r="D111" s="279" cm="1">
        <f t="array" aca="1" ref="D111" ca="1">INDIRECT($F111&amp;D$90&amp;"!"&amp;$G111)</f>
        <v>8</v>
      </c>
      <c r="E111" s="293">
        <f t="shared" si="39"/>
        <v>8</v>
      </c>
      <c r="F111" s="280" t="str">
        <f t="shared" ca="1" si="40"/>
        <v>HP_</v>
      </c>
      <c r="G111" s="280" t="str">
        <f t="shared" ca="1" si="41"/>
        <v>B29</v>
      </c>
      <c r="H111" s="281" t="str">
        <f t="shared" ca="1" si="42"/>
        <v>HP_1!B29</v>
      </c>
    </row>
    <row r="112" spans="1:8" ht="15.75">
      <c r="A112" s="282" t="str">
        <f>HP_1!A30</f>
        <v>Cut-out hours</v>
      </c>
      <c r="B112" s="581">
        <f>HP_1!B30</f>
        <v>16</v>
      </c>
      <c r="C112" s="279" cm="1">
        <f t="array" aca="1" ref="C112" ca="1">INDIRECT($F112&amp;C$90&amp;"!"&amp;$G112)</f>
        <v>16</v>
      </c>
      <c r="D112" s="279" cm="1">
        <f t="array" aca="1" ref="D112" ca="1">INDIRECT($F112&amp;D$90&amp;"!"&amp;$G112)</f>
        <v>16</v>
      </c>
      <c r="E112" s="293">
        <f t="shared" si="39"/>
        <v>16</v>
      </c>
      <c r="F112" s="280" t="str">
        <f t="shared" ca="1" si="40"/>
        <v>HP_</v>
      </c>
      <c r="G112" s="280" t="str">
        <f t="shared" ca="1" si="41"/>
        <v>B30</v>
      </c>
      <c r="H112" s="281" t="str">
        <f t="shared" ca="1" si="42"/>
        <v>HP_1!B30</v>
      </c>
    </row>
    <row r="113" spans="1:8" ht="15.75">
      <c r="A113" s="282" t="str">
        <f>HP_1!A31</f>
        <v>Heat pump fuel primary energy factor</v>
      </c>
      <c r="B113" s="581">
        <f>HP_1!B31</f>
        <v>1.75</v>
      </c>
      <c r="C113" s="279" cm="1">
        <f t="array" aca="1" ref="C113" ca="1">INDIRECT($F113&amp;C$90&amp;"!"&amp;$G113)</f>
        <v>1.75</v>
      </c>
      <c r="D113" s="279" cm="1">
        <f t="array" aca="1" ref="D113" ca="1">INDIRECT($F113&amp;D$90&amp;"!"&amp;$G113)</f>
        <v>1.75</v>
      </c>
      <c r="E113" s="293">
        <f t="shared" si="39"/>
        <v>1.75</v>
      </c>
      <c r="F113" s="280" t="str">
        <f t="shared" ca="1" si="40"/>
        <v>HP_</v>
      </c>
      <c r="G113" s="280" t="str">
        <f t="shared" ca="1" si="41"/>
        <v>B31</v>
      </c>
      <c r="H113" s="281" t="str">
        <f t="shared" ca="1" si="42"/>
        <v>HP_1!B31</v>
      </c>
    </row>
    <row r="114" spans="1:8" ht="31.5">
      <c r="A114" s="282" t="str">
        <f>HP_1!A32</f>
        <v>Is a Back Up Space Heater Present within Dwelling</v>
      </c>
      <c r="B114" s="581" t="str">
        <f>HP_1!B32</f>
        <v>No</v>
      </c>
      <c r="C114" s="279" t="str" cm="1">
        <f t="array" aca="1" ref="C114" ca="1">INDIRECT($F114&amp;C$90&amp;"!"&amp;$G114)</f>
        <v>No</v>
      </c>
      <c r="D114" s="279" t="str" cm="1">
        <f t="array" aca="1" ref="D114" ca="1">INDIRECT($F114&amp;D$90&amp;"!"&amp;$G114)</f>
        <v>No</v>
      </c>
      <c r="E114" s="293" t="str">
        <f t="shared" si="39"/>
        <v>No</v>
      </c>
      <c r="F114" s="280" t="str">
        <f t="shared" ca="1" si="40"/>
        <v>HP_</v>
      </c>
      <c r="G114" s="280" t="str">
        <f t="shared" ca="1" si="41"/>
        <v>B32</v>
      </c>
      <c r="H114" s="281" t="str">
        <f t="shared" ca="1" si="42"/>
        <v>HP_1!B32</v>
      </c>
    </row>
    <row r="115" spans="1:8" ht="15.75">
      <c r="A115" s="282" t="str">
        <f>HP_1!A33</f>
        <v>Back Up Space Heater Fuel</v>
      </c>
      <c r="B115" s="581" t="str">
        <f>HP_1!B33</f>
        <v>Electricity</v>
      </c>
      <c r="C115" s="279" t="str" cm="1">
        <f t="array" aca="1" ref="C115" ca="1">INDIRECT($F115&amp;C$90&amp;"!"&amp;$G115)</f>
        <v>Electricity</v>
      </c>
      <c r="D115" s="279" t="str" cm="1">
        <f t="array" aca="1" ref="D115" ca="1">INDIRECT($F115&amp;D$90&amp;"!"&amp;$G115)</f>
        <v>Electricity</v>
      </c>
      <c r="E115" s="293" t="str">
        <f t="shared" si="39"/>
        <v>Electricity</v>
      </c>
      <c r="F115" s="280" t="str">
        <f t="shared" ca="1" si="40"/>
        <v>HP_</v>
      </c>
      <c r="G115" s="280" t="str">
        <f t="shared" ca="1" si="41"/>
        <v>B33</v>
      </c>
      <c r="H115" s="281" t="str">
        <f t="shared" ca="1" si="42"/>
        <v>HP_1!B33</v>
      </c>
    </row>
    <row r="116" spans="1:8" ht="15.75">
      <c r="A116" s="282" t="str">
        <f>HP_1!A34</f>
        <v>Primary Energy Factor for Back Up Space Heater</v>
      </c>
      <c r="B116" s="581">
        <f>HP_1!B34</f>
        <v>1.75</v>
      </c>
      <c r="C116" s="279" cm="1">
        <f t="array" aca="1" ref="C116" ca="1">INDIRECT($F116&amp;C$90&amp;"!"&amp;$G116)</f>
        <v>1.75</v>
      </c>
      <c r="D116" s="279" cm="1">
        <f t="array" aca="1" ref="D116" ca="1">INDIRECT($F116&amp;D$90&amp;"!"&amp;$G116)</f>
        <v>1.75</v>
      </c>
      <c r="E116" s="293">
        <f t="shared" si="39"/>
        <v>1.75</v>
      </c>
      <c r="F116" s="280" t="str">
        <f t="shared" ca="1" si="40"/>
        <v>HP_</v>
      </c>
      <c r="G116" s="280" t="str">
        <f t="shared" ca="1" si="41"/>
        <v>B34</v>
      </c>
      <c r="H116" s="281" t="str">
        <f t="shared" ca="1" si="42"/>
        <v>HP_1!B34</v>
      </c>
    </row>
    <row r="117" spans="1:8" ht="15.75">
      <c r="A117" s="282" t="str">
        <f>HP_1!A35</f>
        <v>Efficiency of Back up Space Heater</v>
      </c>
      <c r="B117" s="581">
        <f>HP_1!B35</f>
        <v>0</v>
      </c>
      <c r="C117" s="279" cm="1">
        <f t="array" aca="1" ref="C117" ca="1">INDIRECT($F117&amp;C$90&amp;"!"&amp;$G117)</f>
        <v>0</v>
      </c>
      <c r="D117" s="279" cm="1">
        <f t="array" aca="1" ref="D117" ca="1">INDIRECT($F117&amp;D$90&amp;"!"&amp;$G117)</f>
        <v>0</v>
      </c>
      <c r="E117" s="293">
        <f t="shared" si="39"/>
        <v>0</v>
      </c>
      <c r="F117" s="280" t="str">
        <f t="shared" ca="1" si="40"/>
        <v>HP_</v>
      </c>
      <c r="G117" s="280" t="str">
        <f t="shared" ca="1" si="41"/>
        <v>B35</v>
      </c>
      <c r="H117" s="281" t="str">
        <f t="shared" ca="1" si="42"/>
        <v>HP_1!B35</v>
      </c>
    </row>
    <row r="118" spans="1:8" ht="31.5">
      <c r="A118" s="282" t="str">
        <f>HP_1!A36</f>
        <v>Adjusted Efficiency of Back up Space Heater relative to fuel used for heat pump</v>
      </c>
      <c r="B118" s="583">
        <f>HP_1!B36</f>
        <v>1</v>
      </c>
      <c r="C118" s="279" cm="1">
        <f t="array" aca="1" ref="C118" ca="1">INDIRECT($F118&amp;C$90&amp;"!"&amp;$G118)</f>
        <v>1</v>
      </c>
      <c r="D118" s="279" cm="1">
        <f t="array" aca="1" ref="D118" ca="1">INDIRECT($F118&amp;D$90&amp;"!"&amp;$G118)</f>
        <v>1</v>
      </c>
      <c r="E118" s="298">
        <f t="shared" si="39"/>
        <v>1</v>
      </c>
      <c r="F118" s="280" t="str">
        <f t="shared" ca="1" si="40"/>
        <v>HP_</v>
      </c>
      <c r="G118" s="280" t="str">
        <f t="shared" ca="1" si="41"/>
        <v>B36</v>
      </c>
      <c r="H118" s="281" t="str">
        <f t="shared" ca="1" si="42"/>
        <v>HP_1!B36</v>
      </c>
    </row>
    <row r="119" spans="1:8" ht="30">
      <c r="A119" s="282" t="str">
        <f>HP_1!$AD$1&amp;": temp1"</f>
        <v>Test temps: temp1</v>
      </c>
      <c r="B119" s="581" t="str">
        <f>HP_1!$AD2</f>
        <v>Low Temperature</v>
      </c>
      <c r="C119" s="279" t="str" cm="1">
        <f t="array" aca="1" ref="C119" ca="1">INDIRECT($F119&amp;C$90&amp;"!"&amp;$G119)</f>
        <v>Low Temperature</v>
      </c>
      <c r="D119" s="279" t="str" cm="1">
        <f t="array" aca="1" ref="D119" ca="1">INDIRECT($F119&amp;D$90&amp;"!"&amp;$G119)</f>
        <v>Low Temperature</v>
      </c>
      <c r="E119" s="295" t="str">
        <f t="shared" si="39"/>
        <v>Low Temperature</v>
      </c>
      <c r="F119" s="280" t="str">
        <f t="shared" ca="1" si="40"/>
        <v>HP_</v>
      </c>
      <c r="G119" s="280" t="str">
        <f t="shared" ca="1" si="41"/>
        <v>$AD2</v>
      </c>
      <c r="H119" s="281" t="str">
        <f t="shared" ca="1" si="42"/>
        <v>HP_1!$AD2</v>
      </c>
    </row>
    <row r="120" spans="1:8" ht="30">
      <c r="A120" s="282" t="str">
        <f>HP_1!$AD$1&amp;": temp2"</f>
        <v>Test temps: temp2</v>
      </c>
      <c r="B120" s="581" t="str">
        <f>HP_1!$AD3</f>
        <v>Medium Temperature</v>
      </c>
      <c r="C120" s="279" t="str" cm="1">
        <f t="array" aca="1" ref="C120" ca="1">INDIRECT($F120&amp;C$90&amp;"!"&amp;$G120)</f>
        <v>Medium Temperature</v>
      </c>
      <c r="D120" s="279" t="str" cm="1">
        <f t="array" aca="1" ref="D120" ca="1">INDIRECT($F120&amp;D$90&amp;"!"&amp;$G120)</f>
        <v>Medium Temperature</v>
      </c>
      <c r="E120" s="295" t="str">
        <f t="shared" si="39"/>
        <v>Medium Temperature</v>
      </c>
      <c r="F120" s="280" t="str">
        <f t="shared" ca="1" si="40"/>
        <v>HP_</v>
      </c>
      <c r="G120" s="280" t="str">
        <f t="shared" ca="1" si="41"/>
        <v>$AD3</v>
      </c>
      <c r="H120" s="281" t="str">
        <f t="shared" ca="1" si="42"/>
        <v>HP_1!$AD3</v>
      </c>
    </row>
    <row r="121" spans="1:8" ht="30">
      <c r="A121" s="282" t="str">
        <f>HP_1!$AD$1&amp;": temp3"</f>
        <v>Test temps: temp3</v>
      </c>
      <c r="B121" s="581" t="str">
        <f>HP_1!$AD4</f>
        <v>High Temperature</v>
      </c>
      <c r="C121" s="279" t="str" cm="1">
        <f t="array" aca="1" ref="C121" ca="1">INDIRECT($F121&amp;C$90&amp;"!"&amp;$G121)</f>
        <v>High Temperature</v>
      </c>
      <c r="D121" s="279" t="str" cm="1">
        <f t="array" aca="1" ref="D121" ca="1">INDIRECT($F121&amp;D$90&amp;"!"&amp;$G121)</f>
        <v>High Temperature</v>
      </c>
      <c r="E121" s="295" t="str">
        <f t="shared" si="39"/>
        <v>High Temperature</v>
      </c>
      <c r="F121" s="280" t="str">
        <f t="shared" ca="1" si="40"/>
        <v>HP_</v>
      </c>
      <c r="G121" s="280" t="str">
        <f t="shared" ca="1" si="41"/>
        <v>$AD4</v>
      </c>
      <c r="H121" s="281" t="str">
        <f t="shared" ca="1" si="42"/>
        <v>HP_1!$AD4</v>
      </c>
    </row>
    <row r="122" spans="1:8" ht="30">
      <c r="A122" s="282" t="str">
        <f>HP_1!$AD$1&amp;": temp4"</f>
        <v>Test temps: temp4</v>
      </c>
      <c r="B122" s="581" t="str">
        <f>HP_1!$AD5</f>
        <v>Very high Temperature</v>
      </c>
      <c r="C122" s="279" t="str" cm="1">
        <f t="array" aca="1" ref="C122" ca="1">INDIRECT($F122&amp;C$90&amp;"!"&amp;$G122)</f>
        <v>Very high Temperature</v>
      </c>
      <c r="D122" s="279" t="str" cm="1">
        <f t="array" aca="1" ref="D122" ca="1">INDIRECT($F122&amp;D$90&amp;"!"&amp;$G122)</f>
        <v>Very high Temperature</v>
      </c>
      <c r="E122" s="295" t="str">
        <f t="shared" si="39"/>
        <v>Very high Temperature</v>
      </c>
      <c r="F122" s="280" t="str">
        <f t="shared" ca="1" si="40"/>
        <v>HP_</v>
      </c>
      <c r="G122" s="280" t="str">
        <f t="shared" ca="1" si="41"/>
        <v>$AD5</v>
      </c>
      <c r="H122" s="281" t="str">
        <f t="shared" ca="1" si="42"/>
        <v>HP_1!$AD5</v>
      </c>
    </row>
    <row r="123" spans="1:8" ht="15.75">
      <c r="A123" s="282" t="str">
        <f>HP_1!$AE$1&amp;": temp1"</f>
        <v>For HP tab: temp1</v>
      </c>
      <c r="B123" s="581" t="str">
        <f>HP_1!$AE2</f>
        <v>Low</v>
      </c>
      <c r="C123" s="279" t="str" cm="1">
        <f t="array" aca="1" ref="C123" ca="1">INDIRECT($F123&amp;C$90&amp;"!"&amp;$G123)</f>
        <v>Low</v>
      </c>
      <c r="D123" s="279" t="str" cm="1">
        <f t="array" aca="1" ref="D123" ca="1">INDIRECT($F123&amp;D$90&amp;"!"&amp;$G123)</f>
        <v>Low</v>
      </c>
      <c r="E123" s="295" t="str">
        <f t="shared" ref="E123:E126" si="43">VLOOKUP(A123,A123:D123,$K$1+1,FALSE)</f>
        <v>Low</v>
      </c>
      <c r="F123" s="280" t="str">
        <f t="shared" ref="F123:F126" ca="1" si="44">LEFT(H123,FIND("1",H123)-1)</f>
        <v>HP_</v>
      </c>
      <c r="G123" s="280" t="str">
        <f t="shared" ref="G123:G126" ca="1" si="45">RIGHT(H123,LEN(H123)-FIND("!",H123))</f>
        <v>$AE2</v>
      </c>
      <c r="H123" s="281" t="str">
        <f t="shared" ref="H123:H126" ca="1" si="46">SUBSTITUTE( _xlfn.FORMULATEXT(B123),"=","")</f>
        <v>HP_1!$AE2</v>
      </c>
    </row>
    <row r="124" spans="1:8" ht="15.75">
      <c r="A124" s="282" t="str">
        <f>HP_1!$AE$1&amp;": temp2"</f>
        <v>For HP tab: temp2</v>
      </c>
      <c r="B124" s="581" t="str">
        <f>HP_1!$AE3</f>
        <v>Medium</v>
      </c>
      <c r="C124" s="279" t="str" cm="1">
        <f t="array" aca="1" ref="C124" ca="1">INDIRECT($F124&amp;C$90&amp;"!"&amp;$G124)</f>
        <v>Medium</v>
      </c>
      <c r="D124" s="279" t="str" cm="1">
        <f t="array" aca="1" ref="D124" ca="1">INDIRECT($F124&amp;D$90&amp;"!"&amp;$G124)</f>
        <v>Medium</v>
      </c>
      <c r="E124" s="295" t="str">
        <f t="shared" si="43"/>
        <v>Medium</v>
      </c>
      <c r="F124" s="280" t="str">
        <f t="shared" ca="1" si="44"/>
        <v>HP_</v>
      </c>
      <c r="G124" s="280" t="str">
        <f t="shared" ca="1" si="45"/>
        <v>$AE3</v>
      </c>
      <c r="H124" s="281" t="str">
        <f t="shared" ca="1" si="46"/>
        <v>HP_1!$AE3</v>
      </c>
    </row>
    <row r="125" spans="1:8" ht="15.75">
      <c r="A125" s="282" t="str">
        <f>HP_1!$AE$1&amp;": temp3"</f>
        <v>For HP tab: temp3</v>
      </c>
      <c r="B125" s="581" t="str">
        <f>HP_1!$AE4</f>
        <v>High</v>
      </c>
      <c r="C125" s="279" t="str" cm="1">
        <f t="array" aca="1" ref="C125" ca="1">INDIRECT($F125&amp;C$90&amp;"!"&amp;$G125)</f>
        <v>High</v>
      </c>
      <c r="D125" s="279" t="str" cm="1">
        <f t="array" aca="1" ref="D125" ca="1">INDIRECT($F125&amp;D$90&amp;"!"&amp;$G125)</f>
        <v>High</v>
      </c>
      <c r="E125" s="295" t="str">
        <f t="shared" si="43"/>
        <v>High</v>
      </c>
      <c r="F125" s="280" t="str">
        <f t="shared" ca="1" si="44"/>
        <v>HP_</v>
      </c>
      <c r="G125" s="280" t="str">
        <f t="shared" ca="1" si="45"/>
        <v>$AE4</v>
      </c>
      <c r="H125" s="281" t="str">
        <f t="shared" ca="1" si="46"/>
        <v>HP_1!$AE4</v>
      </c>
    </row>
    <row r="126" spans="1:8" ht="15.75">
      <c r="A126" s="282" t="str">
        <f>HP_1!$AE$1&amp;": temp4"</f>
        <v>For HP tab: temp4</v>
      </c>
      <c r="B126" s="581" t="str">
        <f>HP_1!$AE5</f>
        <v>Very high</v>
      </c>
      <c r="C126" s="279" t="str" cm="1">
        <f t="array" aca="1" ref="C126" ca="1">INDIRECT($F126&amp;C$90&amp;"!"&amp;$G126)</f>
        <v>Very high</v>
      </c>
      <c r="D126" s="279" t="str" cm="1">
        <f t="array" aca="1" ref="D126" ca="1">INDIRECT($F126&amp;D$90&amp;"!"&amp;$G126)</f>
        <v>Very high</v>
      </c>
      <c r="E126" s="295" t="str">
        <f t="shared" si="43"/>
        <v>Very high</v>
      </c>
      <c r="F126" s="280" t="str">
        <f t="shared" ca="1" si="44"/>
        <v>HP_</v>
      </c>
      <c r="G126" s="280" t="str">
        <f t="shared" ca="1" si="45"/>
        <v>$AE5</v>
      </c>
      <c r="H126" s="281" t="str">
        <f t="shared" ca="1" si="46"/>
        <v>HP_1!$AE5</v>
      </c>
    </row>
    <row r="127" spans="1:8" ht="15.75">
      <c r="A127" s="282" t="str">
        <f>HP_1!B38</f>
        <v>High Temperature</v>
      </c>
      <c r="B127" s="583" t="str">
        <f>HP_1!C38</f>
        <v>Yes</v>
      </c>
      <c r="C127" s="279" t="str" cm="1">
        <f t="array" aca="1" ref="C127" ca="1">INDIRECT($F127&amp;C$90&amp;"!"&amp;$G127)</f>
        <v>Yes</v>
      </c>
      <c r="D127" s="279" t="str" cm="1">
        <f t="array" aca="1" ref="D127" ca="1">INDIRECT($F127&amp;D$90&amp;"!"&amp;$G127)</f>
        <v>Yes</v>
      </c>
      <c r="E127" s="298" t="str">
        <f t="shared" ref="E127" si="47">VLOOKUP(A127,A127:D127,$K$1+1,FALSE)</f>
        <v>Yes</v>
      </c>
      <c r="F127" s="280" t="str">
        <f t="shared" ref="F127" ca="1" si="48">LEFT(H127,FIND("1",H127)-1)</f>
        <v>HP_</v>
      </c>
      <c r="G127" s="280" t="str">
        <f t="shared" ref="G127" ca="1" si="49">RIGHT(H127,LEN(H127)-FIND("!",H127))</f>
        <v>C38</v>
      </c>
      <c r="H127" s="281" t="str">
        <f t="shared" ref="H127" ca="1" si="50">SUBSTITUTE( _xlfn.FORMULATEXT(B127),"=","")</f>
        <v>HP_1!C38</v>
      </c>
    </row>
    <row r="128" spans="1:8" ht="15.75">
      <c r="A128" s="282" t="str">
        <f>HP_1!B39</f>
        <v>Low Temperature</v>
      </c>
      <c r="B128" s="583" t="str">
        <f>HP_1!C39</f>
        <v>No</v>
      </c>
      <c r="C128" s="279" t="str" cm="1">
        <f t="array" aca="1" ref="C128" ca="1">INDIRECT($F128&amp;C$90&amp;"!"&amp;$G128)</f>
        <v>No</v>
      </c>
      <c r="D128" s="279" t="str" cm="1">
        <f t="array" aca="1" ref="D128" ca="1">INDIRECT($F128&amp;D$90&amp;"!"&amp;$G128)</f>
        <v>No</v>
      </c>
      <c r="E128" s="293" t="str">
        <f t="shared" si="39"/>
        <v>No</v>
      </c>
      <c r="F128" s="280" t="str">
        <f t="shared" ca="1" si="40"/>
        <v>HP_</v>
      </c>
      <c r="G128" s="280" t="str">
        <f t="shared" ca="1" si="41"/>
        <v>C39</v>
      </c>
      <c r="H128" s="281" t="str">
        <f t="shared" ca="1" si="42"/>
        <v>HP_1!C39</v>
      </c>
    </row>
    <row r="129" spans="1:8" ht="15.75">
      <c r="A129" s="282" t="str">
        <f>HP_1!B40</f>
        <v>Medium Temperature</v>
      </c>
      <c r="B129" s="583" t="str">
        <f>HP_1!C40</f>
        <v>No</v>
      </c>
      <c r="C129" s="279" t="str" cm="1">
        <f t="array" aca="1" ref="C129" ca="1">INDIRECT($F129&amp;C$90&amp;"!"&amp;$G129)</f>
        <v>No</v>
      </c>
      <c r="D129" s="279" t="str" cm="1">
        <f t="array" aca="1" ref="D129" ca="1">INDIRECT($F129&amp;D$90&amp;"!"&amp;$G129)</f>
        <v>No</v>
      </c>
      <c r="E129" s="293" t="str">
        <f t="shared" si="39"/>
        <v>No</v>
      </c>
      <c r="F129" s="280" t="str">
        <f t="shared" ca="1" si="40"/>
        <v>HP_</v>
      </c>
      <c r="G129" s="280" t="str">
        <f t="shared" ca="1" si="41"/>
        <v>C40</v>
      </c>
      <c r="H129" s="281" t="str">
        <f t="shared" ca="1" si="42"/>
        <v>HP_1!C40</v>
      </c>
    </row>
    <row r="130" spans="1:8" ht="15.75">
      <c r="A130" s="282" t="str">
        <f>HP_1!B41</f>
        <v>Very high Temperature</v>
      </c>
      <c r="B130" s="583" t="str">
        <f>HP_1!C41</f>
        <v>No</v>
      </c>
      <c r="C130" s="279" t="str" cm="1">
        <f t="array" aca="1" ref="C130" ca="1">INDIRECT($F130&amp;C$90&amp;"!"&amp;$G130)</f>
        <v>No</v>
      </c>
      <c r="D130" s="279" t="str" cm="1">
        <f t="array" aca="1" ref="D130" ca="1">INDIRECT($F130&amp;D$90&amp;"!"&amp;$G130)</f>
        <v>No</v>
      </c>
      <c r="E130" s="293" t="str">
        <f t="shared" si="39"/>
        <v>No</v>
      </c>
      <c r="F130" s="280" t="str">
        <f t="shared" ca="1" si="40"/>
        <v>HP_</v>
      </c>
      <c r="G130" s="280" t="str">
        <f t="shared" ca="1" si="41"/>
        <v>C41</v>
      </c>
      <c r="H130" s="281" t="str">
        <f t="shared" ca="1" si="42"/>
        <v>HP_1!C41</v>
      </c>
    </row>
    <row r="131" spans="1:8" ht="31.5">
      <c r="A131" s="282" t="str">
        <f>HP_1!B42</f>
        <v>Maximum test temperature allowed for in tests to I.S. EN 14825</v>
      </c>
      <c r="B131" s="584">
        <f>HP_1!C42</f>
        <v>55</v>
      </c>
      <c r="C131" s="279" cm="1">
        <f t="array" aca="1" ref="C131" ca="1">INDIRECT($F131&amp;C$90&amp;"!"&amp;$G131)</f>
        <v>55</v>
      </c>
      <c r="D131" s="279" cm="1">
        <f t="array" aca="1" ref="D131" ca="1">INDIRECT($F131&amp;D$90&amp;"!"&amp;$G131)</f>
        <v>55</v>
      </c>
      <c r="E131" s="293">
        <f t="shared" ref="E131" si="51">VLOOKUP(A131,A131:D131,$K$1+1,FALSE)</f>
        <v>55</v>
      </c>
      <c r="F131" s="280" t="str">
        <f t="shared" ref="F131" ca="1" si="52">LEFT(H131,FIND("1",H131)-1)</f>
        <v>HP_</v>
      </c>
      <c r="G131" s="280" t="str">
        <f t="shared" ref="G131" ca="1" si="53">RIGHT(H131,LEN(H131)-FIND("!",H131))</f>
        <v>C42</v>
      </c>
      <c r="H131" s="281" t="str">
        <f t="shared" ref="H131" ca="1" si="54">SUBSTITUTE( _xlfn.FORMULATEXT(B131),"=","")</f>
        <v>HP_1!C42</v>
      </c>
    </row>
    <row r="132" spans="1:8" ht="45">
      <c r="A132" s="282" t="str">
        <f>HP_1!D10</f>
        <v xml:space="preserve">Is this a Low Temperature Heat Pump? </v>
      </c>
      <c r="B132" s="581" t="str">
        <f>HP_1!G10</f>
        <v>Not low temperature heat pump</v>
      </c>
      <c r="C132" s="279" t="str" cm="1">
        <f t="array" aca="1" ref="C132" ca="1">INDIRECT($F132&amp;C$90&amp;"!"&amp;$G132)</f>
        <v>Not low temperature heat pump</v>
      </c>
      <c r="D132" s="279" t="str" cm="1">
        <f t="array" aca="1" ref="D132" ca="1">INDIRECT($F132&amp;D$90&amp;"!"&amp;$G132)</f>
        <v>Not low temperature heat pump</v>
      </c>
      <c r="E132" s="295" t="str">
        <f t="shared" si="39"/>
        <v>Not low temperature heat pump</v>
      </c>
      <c r="F132" s="280" t="str">
        <f t="shared" ca="1" si="40"/>
        <v>HP_</v>
      </c>
      <c r="G132" s="280" t="str">
        <f t="shared" ca="1" si="41"/>
        <v>G10</v>
      </c>
      <c r="H132" s="281" t="str">
        <f t="shared" ca="1" si="42"/>
        <v>HP_1!G10</v>
      </c>
    </row>
    <row r="133" spans="1:8" ht="15.75">
      <c r="A133" s="282" t="str">
        <f>HP_1!D11</f>
        <v xml:space="preserve">Is this heat pump electric or gas (GAHP)? </v>
      </c>
      <c r="B133" s="581" t="str">
        <f>HP_1!G11</f>
        <v>Electricity</v>
      </c>
      <c r="C133" s="279" t="str" cm="1">
        <f t="array" aca="1" ref="C133" ca="1">INDIRECT($F133&amp;C$90&amp;"!"&amp;$G133)</f>
        <v>Electricity</v>
      </c>
      <c r="D133" s="279" t="str" cm="1">
        <f t="array" aca="1" ref="D133" ca="1">INDIRECT($F133&amp;D$90&amp;"!"&amp;$G133)</f>
        <v>Electricity</v>
      </c>
      <c r="E133" s="295" t="str">
        <f t="shared" si="39"/>
        <v>Electricity</v>
      </c>
      <c r="F133" s="280" t="str">
        <f t="shared" ca="1" si="40"/>
        <v>HP_</v>
      </c>
      <c r="G133" s="280" t="str">
        <f t="shared" ca="1" si="41"/>
        <v>G11</v>
      </c>
      <c r="H133" s="281" t="str">
        <f t="shared" ca="1" si="42"/>
        <v>HP_1!G11</v>
      </c>
    </row>
    <row r="134" spans="1:8" ht="60">
      <c r="A134" s="282" t="str">
        <f>HP_1!D12</f>
        <v>What is the status of this heat pump regarding Ecodesign data?</v>
      </c>
      <c r="B134" s="585" t="str">
        <f>HP_1!G12</f>
        <v>Ecodesign applies and/or ecodesign data available</v>
      </c>
      <c r="C134" s="279" t="str" cm="1">
        <f t="array" aca="1" ref="C134" ca="1">INDIRECT($F134&amp;C$90&amp;"!"&amp;$G134)</f>
        <v>Ecodesign applies and/or ecodesign data available</v>
      </c>
      <c r="D134" s="279" t="str" cm="1">
        <f t="array" aca="1" ref="D134" ca="1">INDIRECT($F134&amp;D$90&amp;"!"&amp;$G134)</f>
        <v>Ecodesign applies and/or ecodesign data available</v>
      </c>
      <c r="E134" s="295" t="str">
        <f t="shared" si="39"/>
        <v>Ecodesign applies and/or ecodesign data available</v>
      </c>
      <c r="F134" s="280" t="str">
        <f t="shared" ca="1" si="40"/>
        <v>HP_</v>
      </c>
      <c r="G134" s="280" t="str">
        <f t="shared" ca="1" si="41"/>
        <v>G12</v>
      </c>
      <c r="H134" s="281" t="str">
        <f t="shared" ca="1" si="42"/>
        <v>HP_1!G12</v>
      </c>
    </row>
    <row r="135" spans="1:8" ht="15.75">
      <c r="A135" s="282" t="str">
        <f>HP_1!A69</f>
        <v>Output from Main Water Heater</v>
      </c>
      <c r="B135" s="278">
        <f>HP_1!B69</f>
        <v>0</v>
      </c>
      <c r="C135" s="279" cm="1">
        <f t="array" aca="1" ref="C135" ca="1">INDIRECT($F135&amp;C$90&amp;"!"&amp;$G135)</f>
        <v>0</v>
      </c>
      <c r="D135" s="279" cm="1">
        <f t="array" aca="1" ref="D135" ca="1">INDIRECT($F135&amp;D$90&amp;"!"&amp;$G135)</f>
        <v>0</v>
      </c>
      <c r="E135" s="294">
        <f t="shared" si="39"/>
        <v>0</v>
      </c>
      <c r="F135" s="280" t="str">
        <f t="shared" ca="1" si="40"/>
        <v>HP_</v>
      </c>
      <c r="G135" s="280" t="str">
        <f t="shared" ca="1" si="41"/>
        <v>B69</v>
      </c>
      <c r="H135" s="281" t="str">
        <f t="shared" ca="1" si="42"/>
        <v>HP_1!B69</v>
      </c>
    </row>
    <row r="136" spans="1:8" ht="15.75">
      <c r="A136" s="289" t="str">
        <f>HP_1!G111</f>
        <v>Exhaust Air Flow Rate (m3/hr)</v>
      </c>
      <c r="B136" s="278">
        <f>HP_1!G112</f>
        <v>0</v>
      </c>
      <c r="C136" s="279" cm="1">
        <f t="array" aca="1" ref="C136" ca="1">INDIRECT($F136&amp;C$90&amp;"!"&amp;$G136)</f>
        <v>0</v>
      </c>
      <c r="D136" s="279" cm="1">
        <f t="array" aca="1" ref="D136" ca="1">INDIRECT($F136&amp;D$90&amp;"!"&amp;$G136)</f>
        <v>0</v>
      </c>
      <c r="E136" s="293">
        <f t="shared" ref="E136" si="55">VLOOKUP(A136,A136:D136,$K$1+1,FALSE)</f>
        <v>0</v>
      </c>
      <c r="F136" s="280" t="str">
        <f t="shared" ref="F136" ca="1" si="56">LEFT(H136,FIND("1",H136)-1)</f>
        <v>HP_</v>
      </c>
      <c r="G136" s="280" t="str">
        <f t="shared" ref="G136" ca="1" si="57">RIGHT(H136,LEN(H136)-FIND("!",H136))</f>
        <v>G112</v>
      </c>
      <c r="H136" s="281" t="str">
        <f t="shared" ref="H136" ca="1" si="58">SUBSTITUTE( _xlfn.FORMULATEXT(B136),"=","")</f>
        <v>HP_1!G112</v>
      </c>
    </row>
    <row r="137" spans="1:8" ht="15.75">
      <c r="A137" s="282" t="str">
        <f>"Cdh placeholder"&amp;A128</f>
        <v>Cdh placeholderLow Temperature</v>
      </c>
      <c r="B137" s="581" t="s">
        <v>585</v>
      </c>
      <c r="C137" s="279" t="e" cm="1">
        <f t="array" aca="1" ref="C137" ca="1">INDIRECT($F137&amp;C$90&amp;"!"&amp;$G137)</f>
        <v>#N/A</v>
      </c>
      <c r="D137" s="279" t="e" cm="1">
        <f t="array" aca="1" ref="D137" ca="1">INDIRECT($F137&amp;D$90&amp;"!"&amp;$G137)</f>
        <v>#N/A</v>
      </c>
      <c r="E137" s="293" t="str">
        <f t="shared" ref="E137" si="59">VLOOKUP(A137,A137:D137,$K$1+1,FALSE)</f>
        <v>placeholder</v>
      </c>
      <c r="F137" s="280" t="e">
        <f t="shared" ref="F137" ca="1" si="60">LEFT(H137,FIND("1",H137)-1)</f>
        <v>#N/A</v>
      </c>
      <c r="G137" s="280" t="e">
        <f t="shared" ref="G137" ca="1" si="61">RIGHT(H137,LEN(H137)-FIND("!",H137))</f>
        <v>#N/A</v>
      </c>
      <c r="H137" s="281" t="e">
        <f t="shared" ref="H137" ca="1" si="62">SUBSTITUTE( _xlfn.FORMULATEXT(B137),"=","")</f>
        <v>#N/A</v>
      </c>
    </row>
    <row r="138" spans="1:8" ht="15.75">
      <c r="A138" s="282" t="str">
        <f>"Cdh placeholder"&amp;A129</f>
        <v>Cdh placeholderMedium Temperature</v>
      </c>
      <c r="B138" s="581" t="s">
        <v>585</v>
      </c>
      <c r="C138" s="279" t="e" cm="1">
        <f t="array" aca="1" ref="C138" ca="1">INDIRECT($F138&amp;C$90&amp;"!"&amp;$G138)</f>
        <v>#N/A</v>
      </c>
      <c r="D138" s="279" t="e" cm="1">
        <f t="array" aca="1" ref="D138" ca="1">INDIRECT($F138&amp;D$90&amp;"!"&amp;$G138)</f>
        <v>#N/A</v>
      </c>
      <c r="E138" s="293" t="str">
        <f t="shared" ref="E138:E150" si="63">VLOOKUP(A138,A138:D138,$K$1+1,FALSE)</f>
        <v>placeholder</v>
      </c>
      <c r="F138" s="280" t="e">
        <f t="shared" ref="F138:F150" ca="1" si="64">LEFT(H138,FIND("1",H138)-1)</f>
        <v>#N/A</v>
      </c>
      <c r="G138" s="280" t="e">
        <f t="shared" ref="G138:G150" ca="1" si="65">RIGHT(H138,LEN(H138)-FIND("!",H138))</f>
        <v>#N/A</v>
      </c>
      <c r="H138" s="281" t="e">
        <f t="shared" ref="H138:H150" ca="1" si="66">SUBSTITUTE( _xlfn.FORMULATEXT(B138),"=","")</f>
        <v>#N/A</v>
      </c>
    </row>
    <row r="139" spans="1:8" ht="15.75">
      <c r="A139" s="282" t="str">
        <f>"Cdh placeholder"&amp;A127</f>
        <v>Cdh placeholderHigh Temperature</v>
      </c>
      <c r="B139" s="581" t="s">
        <v>585</v>
      </c>
      <c r="C139" s="279" t="e" cm="1">
        <f t="array" aca="1" ref="C139" ca="1">INDIRECT($F139&amp;C$90&amp;"!"&amp;$G139)</f>
        <v>#N/A</v>
      </c>
      <c r="D139" s="279" t="e" cm="1">
        <f t="array" aca="1" ref="D139" ca="1">INDIRECT($F139&amp;D$90&amp;"!"&amp;$G139)</f>
        <v>#N/A</v>
      </c>
      <c r="E139" s="293" t="str">
        <f t="shared" si="63"/>
        <v>placeholder</v>
      </c>
      <c r="F139" s="280" t="e">
        <f t="shared" ca="1" si="64"/>
        <v>#N/A</v>
      </c>
      <c r="G139" s="280" t="e">
        <f t="shared" ca="1" si="65"/>
        <v>#N/A</v>
      </c>
      <c r="H139" s="281" t="e">
        <f t="shared" ca="1" si="66"/>
        <v>#N/A</v>
      </c>
    </row>
    <row r="140" spans="1:8" ht="15.75">
      <c r="A140" s="282" t="str">
        <f>"Cdh placeholder"&amp;A130</f>
        <v>Cdh placeholderVery high Temperature</v>
      </c>
      <c r="B140" s="581" t="s">
        <v>585</v>
      </c>
      <c r="C140" s="279" t="e" cm="1">
        <f t="array" aca="1" ref="C140" ca="1">INDIRECT($F140&amp;C$90&amp;"!"&amp;$G140)</f>
        <v>#N/A</v>
      </c>
      <c r="D140" s="279" t="e" cm="1">
        <f t="array" aca="1" ref="D140" ca="1">INDIRECT($F140&amp;D$90&amp;"!"&amp;$G140)</f>
        <v>#N/A</v>
      </c>
      <c r="E140" s="293" t="str">
        <f t="shared" si="63"/>
        <v>placeholder</v>
      </c>
      <c r="F140" s="280" t="e">
        <f t="shared" ca="1" si="64"/>
        <v>#N/A</v>
      </c>
      <c r="G140" s="280" t="e">
        <f t="shared" ca="1" si="65"/>
        <v>#N/A</v>
      </c>
      <c r="H140" s="281" t="e">
        <f t="shared" ca="1" si="66"/>
        <v>#N/A</v>
      </c>
    </row>
    <row r="141" spans="1:8" ht="15.75">
      <c r="A141" s="282" t="s">
        <v>585</v>
      </c>
      <c r="B141" s="581" t="s">
        <v>585</v>
      </c>
      <c r="C141" s="279" t="e" cm="1">
        <f t="array" aca="1" ref="C141" ca="1">INDIRECT($F141&amp;C$90&amp;"!"&amp;$G141)</f>
        <v>#N/A</v>
      </c>
      <c r="D141" s="279" t="e" cm="1">
        <f t="array" aca="1" ref="D141" ca="1">INDIRECT($F141&amp;D$90&amp;"!"&amp;$G141)</f>
        <v>#N/A</v>
      </c>
      <c r="E141" s="293" t="str">
        <f t="shared" si="63"/>
        <v>placeholder</v>
      </c>
      <c r="F141" s="280" t="e">
        <f t="shared" ca="1" si="64"/>
        <v>#N/A</v>
      </c>
      <c r="G141" s="280" t="e">
        <f t="shared" ca="1" si="65"/>
        <v>#N/A</v>
      </c>
      <c r="H141" s="281" t="e">
        <f t="shared" ca="1" si="66"/>
        <v>#N/A</v>
      </c>
    </row>
    <row r="142" spans="1:8" ht="15.75">
      <c r="A142" s="282" t="s">
        <v>585</v>
      </c>
      <c r="B142" s="581" t="s">
        <v>585</v>
      </c>
      <c r="C142" s="279" t="e" cm="1">
        <f t="array" aca="1" ref="C142" ca="1">INDIRECT($F142&amp;C$90&amp;"!"&amp;$G142)</f>
        <v>#N/A</v>
      </c>
      <c r="D142" s="279" t="e" cm="1">
        <f t="array" aca="1" ref="D142" ca="1">INDIRECT($F142&amp;D$90&amp;"!"&amp;$G142)</f>
        <v>#N/A</v>
      </c>
      <c r="E142" s="293" t="str">
        <f t="shared" si="63"/>
        <v>placeholder</v>
      </c>
      <c r="F142" s="280" t="e">
        <f t="shared" ca="1" si="64"/>
        <v>#N/A</v>
      </c>
      <c r="G142" s="280" t="e">
        <f t="shared" ca="1" si="65"/>
        <v>#N/A</v>
      </c>
      <c r="H142" s="281" t="e">
        <f t="shared" ca="1" si="66"/>
        <v>#N/A</v>
      </c>
    </row>
    <row r="143" spans="1:8" ht="15.75">
      <c r="A143" s="282" t="s">
        <v>585</v>
      </c>
      <c r="B143" s="581" t="s">
        <v>585</v>
      </c>
      <c r="C143" s="279" t="e" cm="1">
        <f t="array" aca="1" ref="C143" ca="1">INDIRECT($F143&amp;C$90&amp;"!"&amp;$G143)</f>
        <v>#N/A</v>
      </c>
      <c r="D143" s="279" t="e" cm="1">
        <f t="array" aca="1" ref="D143" ca="1">INDIRECT($F143&amp;D$90&amp;"!"&amp;$G143)</f>
        <v>#N/A</v>
      </c>
      <c r="E143" s="293" t="str">
        <f t="shared" si="63"/>
        <v>placeholder</v>
      </c>
      <c r="F143" s="280" t="e">
        <f t="shared" ca="1" si="64"/>
        <v>#N/A</v>
      </c>
      <c r="G143" s="280" t="e">
        <f t="shared" ca="1" si="65"/>
        <v>#N/A</v>
      </c>
      <c r="H143" s="281" t="e">
        <f t="shared" ca="1" si="66"/>
        <v>#N/A</v>
      </c>
    </row>
    <row r="144" spans="1:8" ht="15.75">
      <c r="A144" s="282" t="s">
        <v>585</v>
      </c>
      <c r="B144" s="581" t="s">
        <v>585</v>
      </c>
      <c r="C144" s="279" t="e" cm="1">
        <f t="array" aca="1" ref="C144" ca="1">INDIRECT($F144&amp;C$90&amp;"!"&amp;$G144)</f>
        <v>#N/A</v>
      </c>
      <c r="D144" s="279" t="e" cm="1">
        <f t="array" aca="1" ref="D144" ca="1">INDIRECT($F144&amp;D$90&amp;"!"&amp;$G144)</f>
        <v>#N/A</v>
      </c>
      <c r="E144" s="293" t="str">
        <f t="shared" si="63"/>
        <v>placeholder</v>
      </c>
      <c r="F144" s="280" t="e">
        <f t="shared" ca="1" si="64"/>
        <v>#N/A</v>
      </c>
      <c r="G144" s="280" t="e">
        <f t="shared" ca="1" si="65"/>
        <v>#N/A</v>
      </c>
      <c r="H144" s="281" t="e">
        <f t="shared" ca="1" si="66"/>
        <v>#N/A</v>
      </c>
    </row>
    <row r="145" spans="1:37" ht="15.75">
      <c r="A145" s="282" t="s">
        <v>585</v>
      </c>
      <c r="B145" s="581" t="s">
        <v>585</v>
      </c>
      <c r="C145" s="279" t="e" cm="1">
        <f t="array" aca="1" ref="C145" ca="1">INDIRECT($F145&amp;C$90&amp;"!"&amp;$G145)</f>
        <v>#N/A</v>
      </c>
      <c r="D145" s="279" t="e" cm="1">
        <f t="array" aca="1" ref="D145" ca="1">INDIRECT($F145&amp;D$90&amp;"!"&amp;$G145)</f>
        <v>#N/A</v>
      </c>
      <c r="E145" s="293" t="str">
        <f t="shared" si="63"/>
        <v>placeholder</v>
      </c>
      <c r="F145" s="280" t="e">
        <f t="shared" ca="1" si="64"/>
        <v>#N/A</v>
      </c>
      <c r="G145" s="280" t="e">
        <f t="shared" ca="1" si="65"/>
        <v>#N/A</v>
      </c>
      <c r="H145" s="281" t="e">
        <f t="shared" ca="1" si="66"/>
        <v>#N/A</v>
      </c>
    </row>
    <row r="146" spans="1:37" ht="15.75">
      <c r="A146" s="282" t="s">
        <v>585</v>
      </c>
      <c r="B146" s="581" t="s">
        <v>585</v>
      </c>
      <c r="C146" s="279" t="e" cm="1">
        <f t="array" aca="1" ref="C146" ca="1">INDIRECT($F146&amp;C$90&amp;"!"&amp;$G146)</f>
        <v>#N/A</v>
      </c>
      <c r="D146" s="279" t="e" cm="1">
        <f t="array" aca="1" ref="D146" ca="1">INDIRECT($F146&amp;D$90&amp;"!"&amp;$G146)</f>
        <v>#N/A</v>
      </c>
      <c r="E146" s="293" t="str">
        <f t="shared" si="63"/>
        <v>placeholder</v>
      </c>
      <c r="F146" s="280" t="e">
        <f t="shared" ca="1" si="64"/>
        <v>#N/A</v>
      </c>
      <c r="G146" s="280" t="e">
        <f t="shared" ca="1" si="65"/>
        <v>#N/A</v>
      </c>
      <c r="H146" s="281" t="e">
        <f t="shared" ca="1" si="66"/>
        <v>#N/A</v>
      </c>
    </row>
    <row r="147" spans="1:37" ht="15.75">
      <c r="A147" s="282" t="s">
        <v>585</v>
      </c>
      <c r="B147" s="581" t="s">
        <v>585</v>
      </c>
      <c r="C147" s="279" t="e" cm="1">
        <f t="array" aca="1" ref="C147" ca="1">INDIRECT($F147&amp;C$90&amp;"!"&amp;$G147)</f>
        <v>#N/A</v>
      </c>
      <c r="D147" s="279" t="e" cm="1">
        <f t="array" aca="1" ref="D147" ca="1">INDIRECT($F147&amp;D$90&amp;"!"&amp;$G147)</f>
        <v>#N/A</v>
      </c>
      <c r="E147" s="293" t="str">
        <f t="shared" si="63"/>
        <v>placeholder</v>
      </c>
      <c r="F147" s="280" t="e">
        <f t="shared" ca="1" si="64"/>
        <v>#N/A</v>
      </c>
      <c r="G147" s="280" t="e">
        <f t="shared" ca="1" si="65"/>
        <v>#N/A</v>
      </c>
      <c r="H147" s="281" t="e">
        <f t="shared" ca="1" si="66"/>
        <v>#N/A</v>
      </c>
    </row>
    <row r="148" spans="1:37" ht="15.75">
      <c r="A148" s="282" t="s">
        <v>585</v>
      </c>
      <c r="B148" s="581" t="s">
        <v>585</v>
      </c>
      <c r="C148" s="279" t="e" cm="1">
        <f t="array" aca="1" ref="C148" ca="1">INDIRECT($F148&amp;C$90&amp;"!"&amp;$G148)</f>
        <v>#N/A</v>
      </c>
      <c r="D148" s="279" t="e" cm="1">
        <f t="array" aca="1" ref="D148" ca="1">INDIRECT($F148&amp;D$90&amp;"!"&amp;$G148)</f>
        <v>#N/A</v>
      </c>
      <c r="E148" s="293" t="str">
        <f t="shared" si="63"/>
        <v>placeholder</v>
      </c>
      <c r="F148" s="280" t="e">
        <f t="shared" ca="1" si="64"/>
        <v>#N/A</v>
      </c>
      <c r="G148" s="280" t="e">
        <f t="shared" ca="1" si="65"/>
        <v>#N/A</v>
      </c>
      <c r="H148" s="281" t="e">
        <f t="shared" ca="1" si="66"/>
        <v>#N/A</v>
      </c>
    </row>
    <row r="149" spans="1:37" ht="15.75">
      <c r="A149" s="282" t="s">
        <v>585</v>
      </c>
      <c r="B149" s="581" t="s">
        <v>585</v>
      </c>
      <c r="C149" s="279" t="e" cm="1">
        <f t="array" aca="1" ref="C149" ca="1">INDIRECT($F149&amp;C$90&amp;"!"&amp;$G149)</f>
        <v>#N/A</v>
      </c>
      <c r="D149" s="279" t="e" cm="1">
        <f t="array" aca="1" ref="D149" ca="1">INDIRECT($F149&amp;D$90&amp;"!"&amp;$G149)</f>
        <v>#N/A</v>
      </c>
      <c r="E149" s="293" t="str">
        <f t="shared" si="63"/>
        <v>placeholder</v>
      </c>
      <c r="F149" s="280" t="e">
        <f t="shared" ca="1" si="64"/>
        <v>#N/A</v>
      </c>
      <c r="G149" s="280" t="e">
        <f t="shared" ca="1" si="65"/>
        <v>#N/A</v>
      </c>
      <c r="H149" s="281" t="e">
        <f t="shared" ca="1" si="66"/>
        <v>#N/A</v>
      </c>
    </row>
    <row r="150" spans="1:37" ht="16.5" thickBot="1">
      <c r="A150" s="290" t="s">
        <v>585</v>
      </c>
      <c r="B150" s="586" t="s">
        <v>585</v>
      </c>
      <c r="C150" s="587" t="e" cm="1">
        <f t="array" aca="1" ref="C150" ca="1">INDIRECT($F150&amp;C$90&amp;"!"&amp;$G150)</f>
        <v>#N/A</v>
      </c>
      <c r="D150" s="587" t="e" cm="1">
        <f t="array" aca="1" ref="D150" ca="1">INDIRECT($F150&amp;D$90&amp;"!"&amp;$G150)</f>
        <v>#N/A</v>
      </c>
      <c r="E150" s="299" t="str">
        <f t="shared" si="63"/>
        <v>placeholder</v>
      </c>
      <c r="F150" s="588" t="e">
        <f t="shared" ca="1" si="64"/>
        <v>#N/A</v>
      </c>
      <c r="G150" s="588" t="e">
        <f t="shared" ca="1" si="65"/>
        <v>#N/A</v>
      </c>
      <c r="H150" s="589" t="e">
        <f t="shared" ca="1" si="66"/>
        <v>#N/A</v>
      </c>
    </row>
    <row r="151" spans="1:37" ht="15.75">
      <c r="A151" s="590"/>
      <c r="B151" s="591" t="s">
        <v>586</v>
      </c>
      <c r="C151" s="592" t="s">
        <v>434</v>
      </c>
      <c r="D151" s="593" t="s">
        <v>434</v>
      </c>
      <c r="E151" s="593" t="s">
        <v>434</v>
      </c>
      <c r="F151" s="593" t="s">
        <v>434</v>
      </c>
      <c r="G151" s="594" t="s">
        <v>434</v>
      </c>
      <c r="H151" s="592">
        <v>1</v>
      </c>
      <c r="I151" s="593">
        <v>1</v>
      </c>
      <c r="J151" s="593">
        <v>1</v>
      </c>
      <c r="K151" s="593">
        <v>1</v>
      </c>
      <c r="L151" s="594">
        <v>1</v>
      </c>
      <c r="M151" s="592">
        <f>H151+1</f>
        <v>2</v>
      </c>
      <c r="N151" s="593">
        <f t="shared" ref="N151:Q151" si="67">I151+1</f>
        <v>2</v>
      </c>
      <c r="O151" s="593">
        <f t="shared" si="67"/>
        <v>2</v>
      </c>
      <c r="P151" s="593">
        <f t="shared" si="67"/>
        <v>2</v>
      </c>
      <c r="Q151" s="594">
        <f t="shared" si="67"/>
        <v>2</v>
      </c>
      <c r="R151" s="592">
        <f>M151+1</f>
        <v>3</v>
      </c>
      <c r="S151" s="593">
        <f t="shared" ref="S151" si="68">N151+1</f>
        <v>3</v>
      </c>
      <c r="T151" s="593">
        <f t="shared" ref="T151" si="69">O151+1</f>
        <v>3</v>
      </c>
      <c r="U151" s="593">
        <f t="shared" ref="U151" si="70">P151+1</f>
        <v>3</v>
      </c>
      <c r="V151" s="595">
        <f t="shared" ref="V151" si="71">Q151+1</f>
        <v>3</v>
      </c>
      <c r="W151" s="720" t="str">
        <f>H90</f>
        <v>Heat pump 1 source cell name as text</v>
      </c>
      <c r="X151" s="721"/>
      <c r="Y151" s="721"/>
      <c r="Z151" s="721"/>
      <c r="AA151" s="722"/>
      <c r="AB151" s="723" t="str">
        <f>F90</f>
        <v>Tab</v>
      </c>
      <c r="AC151" s="724"/>
      <c r="AD151" s="724"/>
      <c r="AE151" s="724"/>
      <c r="AF151" s="725"/>
      <c r="AG151" s="723" t="str">
        <f>G90</f>
        <v>Cell (everything to the right of the tab name)</v>
      </c>
      <c r="AH151" s="724"/>
      <c r="AI151" s="724"/>
      <c r="AJ151" s="724"/>
      <c r="AK151" s="726"/>
    </row>
    <row r="152" spans="1:37" ht="15.75">
      <c r="A152" s="596"/>
      <c r="B152" s="597" t="s">
        <v>587</v>
      </c>
      <c r="C152" s="598" t="s">
        <v>506</v>
      </c>
      <c r="D152" s="599" t="s">
        <v>507</v>
      </c>
      <c r="E152" s="599" t="s">
        <v>508</v>
      </c>
      <c r="F152" s="599" t="s">
        <v>509</v>
      </c>
      <c r="G152" s="600" t="s">
        <v>505</v>
      </c>
      <c r="H152" s="598" t="s">
        <v>506</v>
      </c>
      <c r="I152" s="599" t="s">
        <v>507</v>
      </c>
      <c r="J152" s="599" t="s">
        <v>508</v>
      </c>
      <c r="K152" s="599" t="s">
        <v>509</v>
      </c>
      <c r="L152" s="600" t="s">
        <v>505</v>
      </c>
      <c r="M152" s="598" t="s">
        <v>506</v>
      </c>
      <c r="N152" s="599" t="s">
        <v>507</v>
      </c>
      <c r="O152" s="599" t="s">
        <v>508</v>
      </c>
      <c r="P152" s="599" t="s">
        <v>509</v>
      </c>
      <c r="Q152" s="600" t="s">
        <v>505</v>
      </c>
      <c r="R152" s="598" t="s">
        <v>506</v>
      </c>
      <c r="S152" s="599" t="s">
        <v>507</v>
      </c>
      <c r="T152" s="599" t="s">
        <v>508</v>
      </c>
      <c r="U152" s="599" t="s">
        <v>509</v>
      </c>
      <c r="V152" s="601" t="s">
        <v>505</v>
      </c>
      <c r="W152" s="598" t="s">
        <v>506</v>
      </c>
      <c r="X152" s="599" t="s">
        <v>507</v>
      </c>
      <c r="Y152" s="599" t="s">
        <v>508</v>
      </c>
      <c r="Z152" s="599" t="s">
        <v>509</v>
      </c>
      <c r="AA152" s="601" t="s">
        <v>505</v>
      </c>
      <c r="AB152" s="598" t="s">
        <v>506</v>
      </c>
      <c r="AC152" s="599" t="s">
        <v>507</v>
      </c>
      <c r="AD152" s="599" t="s">
        <v>508</v>
      </c>
      <c r="AE152" s="599" t="s">
        <v>509</v>
      </c>
      <c r="AF152" s="601" t="s">
        <v>505</v>
      </c>
      <c r="AG152" s="598" t="s">
        <v>506</v>
      </c>
      <c r="AH152" s="599" t="s">
        <v>507</v>
      </c>
      <c r="AI152" s="599" t="s">
        <v>508</v>
      </c>
      <c r="AJ152" s="599" t="s">
        <v>509</v>
      </c>
      <c r="AK152" s="600" t="s">
        <v>505</v>
      </c>
    </row>
    <row r="153" spans="1:37" ht="16.5" thickBot="1">
      <c r="A153" s="602" t="s">
        <v>588</v>
      </c>
      <c r="B153" s="597" t="str">
        <f>B151&amp;B152&amp;"-&gt;"</f>
        <v>HP identifier:Bin-&gt;</v>
      </c>
      <c r="C153" s="603" t="str">
        <f>$K$1&amp;C152</f>
        <v>1A</v>
      </c>
      <c r="D153" s="604" t="str">
        <f>$K$1&amp;D152</f>
        <v>1B</v>
      </c>
      <c r="E153" s="604" t="str">
        <f>$K$1&amp;E152</f>
        <v>1C</v>
      </c>
      <c r="F153" s="604" t="str">
        <f>$K$1&amp;F152</f>
        <v>1D</v>
      </c>
      <c r="G153" s="605" t="str">
        <f>$K$1&amp;G152</f>
        <v>1E</v>
      </c>
      <c r="H153" s="603" t="str">
        <f t="shared" ref="H153:V153" si="72">H151&amp;H152</f>
        <v>1A</v>
      </c>
      <c r="I153" s="604" t="str">
        <f t="shared" si="72"/>
        <v>1B</v>
      </c>
      <c r="J153" s="604" t="str">
        <f t="shared" si="72"/>
        <v>1C</v>
      </c>
      <c r="K153" s="604" t="str">
        <f t="shared" si="72"/>
        <v>1D</v>
      </c>
      <c r="L153" s="605" t="str">
        <f t="shared" si="72"/>
        <v>1E</v>
      </c>
      <c r="M153" s="603" t="str">
        <f t="shared" si="72"/>
        <v>2A</v>
      </c>
      <c r="N153" s="604" t="str">
        <f t="shared" si="72"/>
        <v>2B</v>
      </c>
      <c r="O153" s="604" t="str">
        <f t="shared" si="72"/>
        <v>2C</v>
      </c>
      <c r="P153" s="604" t="str">
        <f t="shared" si="72"/>
        <v>2D</v>
      </c>
      <c r="Q153" s="605" t="str">
        <f t="shared" si="72"/>
        <v>2E</v>
      </c>
      <c r="R153" s="603" t="str">
        <f t="shared" si="72"/>
        <v>3A</v>
      </c>
      <c r="S153" s="604" t="str">
        <f t="shared" si="72"/>
        <v>3B</v>
      </c>
      <c r="T153" s="604" t="str">
        <f t="shared" si="72"/>
        <v>3C</v>
      </c>
      <c r="U153" s="604" t="str">
        <f t="shared" si="72"/>
        <v>3D</v>
      </c>
      <c r="V153" s="606" t="str">
        <f t="shared" si="72"/>
        <v>3E</v>
      </c>
      <c r="W153" s="603"/>
      <c r="X153" s="604"/>
      <c r="Y153" s="604"/>
      <c r="Z153" s="604"/>
      <c r="AA153" s="606"/>
      <c r="AB153" s="603"/>
      <c r="AC153" s="604"/>
      <c r="AD153" s="604"/>
      <c r="AE153" s="604"/>
      <c r="AF153" s="606"/>
      <c r="AG153" s="603"/>
      <c r="AH153" s="604"/>
      <c r="AI153" s="604"/>
      <c r="AJ153" s="604"/>
      <c r="AK153" s="605"/>
    </row>
    <row r="154" spans="1:37">
      <c r="A154" s="607" t="str">
        <f t="shared" ref="A154:A161" si="73">A19</f>
        <v>Low Temperature COP  (kW/kW)</v>
      </c>
      <c r="B154" s="608">
        <f>IF(E128="Yes",1,0)</f>
        <v>0</v>
      </c>
      <c r="C154" s="609">
        <f>$B154*INDEX($H154:$V154,1,MATCH(C$153,$H$153:$V$153,0))</f>
        <v>0</v>
      </c>
      <c r="D154" s="610">
        <f t="shared" ref="D154:G161" si="74">$B154*INDEX($H154:$V154,1,MATCH(D$153,$H$153:$V$153,0))</f>
        <v>0</v>
      </c>
      <c r="E154" s="610">
        <f t="shared" si="74"/>
        <v>0</v>
      </c>
      <c r="F154" s="610">
        <f t="shared" si="74"/>
        <v>0</v>
      </c>
      <c r="G154" s="611">
        <f t="shared" si="74"/>
        <v>0</v>
      </c>
      <c r="H154" s="612">
        <f>HP_1!C47</f>
        <v>0</v>
      </c>
      <c r="I154" s="613">
        <f>HP_1!D47</f>
        <v>0</v>
      </c>
      <c r="J154" s="613">
        <f>HP_1!E47</f>
        <v>0</v>
      </c>
      <c r="K154" s="613">
        <f>HP_1!F47</f>
        <v>0</v>
      </c>
      <c r="L154" s="614">
        <f>HP_1!G47</f>
        <v>0</v>
      </c>
      <c r="M154" s="609" cm="1">
        <f t="array" aca="1" ref="M154" ca="1">INDIRECT(AB154&amp;M$151&amp;"!"&amp;AG154)</f>
        <v>0</v>
      </c>
      <c r="N154" s="610" cm="1">
        <f t="array" aca="1" ref="N154" ca="1">INDIRECT(AC154&amp;N$151&amp;"!"&amp;AH154)</f>
        <v>0</v>
      </c>
      <c r="O154" s="610" cm="1">
        <f t="array" aca="1" ref="O154" ca="1">INDIRECT(AD154&amp;O$151&amp;"!"&amp;AI154)</f>
        <v>0</v>
      </c>
      <c r="P154" s="610" cm="1">
        <f t="array" aca="1" ref="P154" ca="1">INDIRECT(AE154&amp;P$151&amp;"!"&amp;AJ154)</f>
        <v>0</v>
      </c>
      <c r="Q154" s="611" cm="1">
        <f t="array" aca="1" ref="Q154" ca="1">INDIRECT(AF154&amp;Q$151&amp;"!"&amp;AK154)</f>
        <v>0</v>
      </c>
      <c r="R154" s="609" cm="1">
        <f t="array" aca="1" ref="R154" ca="1">INDIRECT(AB154&amp;R$151&amp;"!"&amp;AG154)</f>
        <v>0</v>
      </c>
      <c r="S154" s="610" cm="1">
        <f t="array" aca="1" ref="S154" ca="1">INDIRECT(AC154&amp;S$151&amp;"!"&amp;AH154)</f>
        <v>0</v>
      </c>
      <c r="T154" s="610" cm="1">
        <f t="array" aca="1" ref="T154" ca="1">INDIRECT(AD154&amp;T$151&amp;"!"&amp;AI154)</f>
        <v>0</v>
      </c>
      <c r="U154" s="610" cm="1">
        <f t="array" aca="1" ref="U154" ca="1">INDIRECT(AE154&amp;U$151&amp;"!"&amp;AJ154)</f>
        <v>0</v>
      </c>
      <c r="V154" s="615" cm="1">
        <f t="array" aca="1" ref="V154" ca="1">INDIRECT(AF154&amp;V$151&amp;"!"&amp;AK154)</f>
        <v>0</v>
      </c>
      <c r="W154" s="616" t="str">
        <f ca="1">SUBSTITUTE( _xlfn.FORMULATEXT(H154),"=","")</f>
        <v>HP_1!C47</v>
      </c>
      <c r="X154" s="617" t="str">
        <f ca="1">SUBSTITUTE( _xlfn.FORMULATEXT(I154),"=","")</f>
        <v>HP_1!D47</v>
      </c>
      <c r="Y154" s="617" t="str">
        <f ca="1">SUBSTITUTE( _xlfn.FORMULATEXT(J154),"=","")</f>
        <v>HP_1!E47</v>
      </c>
      <c r="Z154" s="617" t="str">
        <f ca="1">SUBSTITUTE( _xlfn.FORMULATEXT(K154),"=","")</f>
        <v>HP_1!F47</v>
      </c>
      <c r="AA154" s="618" t="str">
        <f ca="1">SUBSTITUTE( _xlfn.FORMULATEXT(L154),"=","")</f>
        <v>HP_1!G47</v>
      </c>
      <c r="AB154" s="616" t="str">
        <f ca="1">LEFT(W154,FIND("1",W154)-1)</f>
        <v>HP_</v>
      </c>
      <c r="AC154" s="617" t="str">
        <f ca="1">LEFT(X154,FIND("1",X154)-1)</f>
        <v>HP_</v>
      </c>
      <c r="AD154" s="617" t="str">
        <f ca="1">LEFT(Y154,FIND("1",Y154)-1)</f>
        <v>HP_</v>
      </c>
      <c r="AE154" s="617" t="str">
        <f ca="1">LEFT(Z154,FIND("1",Z154)-1)</f>
        <v>HP_</v>
      </c>
      <c r="AF154" s="618" t="str">
        <f ca="1">LEFT(AA154,FIND("1",AA154)-1)</f>
        <v>HP_</v>
      </c>
      <c r="AG154" s="616" t="str">
        <f ca="1">RIGHT(W154,LEN(W154)-FIND("!",W154))</f>
        <v>C47</v>
      </c>
      <c r="AH154" s="617" t="str">
        <f ca="1">RIGHT(X154,LEN(X154)-FIND("!",X154))</f>
        <v>D47</v>
      </c>
      <c r="AI154" s="617" t="str">
        <f ca="1">RIGHT(Y154,LEN(Y154)-FIND("!",Y154))</f>
        <v>E47</v>
      </c>
      <c r="AJ154" s="617" t="str">
        <f ca="1">RIGHT(Z154,LEN(Z154)-FIND("!",Z154))</f>
        <v>F47</v>
      </c>
      <c r="AK154" s="619" t="str">
        <f ca="1">RIGHT(AA154,LEN(AA154)-FIND("!",AA154))</f>
        <v>G47</v>
      </c>
    </row>
    <row r="155" spans="1:37">
      <c r="A155" s="607" t="str">
        <f t="shared" si="73"/>
        <v>Medium Temperature COP  (kW/kW)</v>
      </c>
      <c r="B155" s="608">
        <f>IF(E129="Yes",1,0)</f>
        <v>0</v>
      </c>
      <c r="C155" s="620">
        <f t="shared" ref="C155:C161" si="75">$B155*INDEX($H155:$V155,1,MATCH(C$153,$H$153:$V$153,0))</f>
        <v>0</v>
      </c>
      <c r="D155" s="621">
        <f t="shared" si="74"/>
        <v>0</v>
      </c>
      <c r="E155" s="621">
        <f t="shared" si="74"/>
        <v>0</v>
      </c>
      <c r="F155" s="621">
        <f t="shared" si="74"/>
        <v>0</v>
      </c>
      <c r="G155" s="622">
        <f t="shared" si="74"/>
        <v>0</v>
      </c>
      <c r="H155" s="623">
        <f>HP_1!C51</f>
        <v>0</v>
      </c>
      <c r="I155" s="624">
        <f>HP_1!D51</f>
        <v>0</v>
      </c>
      <c r="J155" s="624">
        <f>HP_1!E51</f>
        <v>0</v>
      </c>
      <c r="K155" s="624">
        <f>HP_1!F51</f>
        <v>0</v>
      </c>
      <c r="L155" s="625">
        <f>HP_1!G51</f>
        <v>0</v>
      </c>
      <c r="M155" s="620" cm="1">
        <f t="array" aca="1" ref="M155" ca="1">INDIRECT(AB155&amp;M$151&amp;"!"&amp;AG155)</f>
        <v>0</v>
      </c>
      <c r="N155" s="621" cm="1">
        <f t="array" aca="1" ref="N155" ca="1">INDIRECT(AC155&amp;N$151&amp;"!"&amp;AH155)</f>
        <v>0</v>
      </c>
      <c r="O155" s="621" cm="1">
        <f t="array" aca="1" ref="O155" ca="1">INDIRECT(AD155&amp;O$151&amp;"!"&amp;AI155)</f>
        <v>0</v>
      </c>
      <c r="P155" s="621" cm="1">
        <f t="array" aca="1" ref="P155" ca="1">INDIRECT(AE155&amp;P$151&amp;"!"&amp;AJ155)</f>
        <v>0</v>
      </c>
      <c r="Q155" s="622" cm="1">
        <f t="array" aca="1" ref="Q155" ca="1">INDIRECT(AF155&amp;Q$151&amp;"!"&amp;AK155)</f>
        <v>0</v>
      </c>
      <c r="R155" s="620" cm="1">
        <f t="array" aca="1" ref="R155" ca="1">INDIRECT(AB155&amp;R$151&amp;"!"&amp;AG155)</f>
        <v>0</v>
      </c>
      <c r="S155" s="621" cm="1">
        <f t="array" aca="1" ref="S155" ca="1">INDIRECT(AC155&amp;S$151&amp;"!"&amp;AH155)</f>
        <v>0</v>
      </c>
      <c r="T155" s="621" cm="1">
        <f t="array" aca="1" ref="T155" ca="1">INDIRECT(AD155&amp;T$151&amp;"!"&amp;AI155)</f>
        <v>0</v>
      </c>
      <c r="U155" s="621" cm="1">
        <f t="array" aca="1" ref="U155" ca="1">INDIRECT(AE155&amp;U$151&amp;"!"&amp;AJ155)</f>
        <v>0</v>
      </c>
      <c r="V155" s="626" cm="1">
        <f t="array" aca="1" ref="V155" ca="1">INDIRECT(AF155&amp;V$151&amp;"!"&amp;AK155)</f>
        <v>0</v>
      </c>
      <c r="W155" s="627" t="str">
        <f t="shared" ref="W155:W161" ca="1" si="76">SUBSTITUTE( _xlfn.FORMULATEXT(H155),"=","")</f>
        <v>HP_1!C51</v>
      </c>
      <c r="X155" s="628" t="str">
        <f t="shared" ref="X155:X161" ca="1" si="77">SUBSTITUTE( _xlfn.FORMULATEXT(I155),"=","")</f>
        <v>HP_1!D51</v>
      </c>
      <c r="Y155" s="628" t="str">
        <f t="shared" ref="Y155:Y161" ca="1" si="78">SUBSTITUTE( _xlfn.FORMULATEXT(J155),"=","")</f>
        <v>HP_1!E51</v>
      </c>
      <c r="Z155" s="628" t="str">
        <f t="shared" ref="Z155:Z161" ca="1" si="79">SUBSTITUTE( _xlfn.FORMULATEXT(K155),"=","")</f>
        <v>HP_1!F51</v>
      </c>
      <c r="AA155" s="629" t="str">
        <f t="shared" ref="AA155:AA161" ca="1" si="80">SUBSTITUTE( _xlfn.FORMULATEXT(L155),"=","")</f>
        <v>HP_1!G51</v>
      </c>
      <c r="AB155" s="627" t="str">
        <f t="shared" ref="AB155:AB161" ca="1" si="81">LEFT(W155,FIND("1",W155)-1)</f>
        <v>HP_</v>
      </c>
      <c r="AC155" s="628" t="str">
        <f t="shared" ref="AC155:AC161" ca="1" si="82">LEFT(X155,FIND("1",X155)-1)</f>
        <v>HP_</v>
      </c>
      <c r="AD155" s="628" t="str">
        <f t="shared" ref="AD155:AD161" ca="1" si="83">LEFT(Y155,FIND("1",Y155)-1)</f>
        <v>HP_</v>
      </c>
      <c r="AE155" s="628" t="str">
        <f t="shared" ref="AE155:AE161" ca="1" si="84">LEFT(Z155,FIND("1",Z155)-1)</f>
        <v>HP_</v>
      </c>
      <c r="AF155" s="629" t="str">
        <f t="shared" ref="AF155:AF161" ca="1" si="85">LEFT(AA155,FIND("1",AA155)-1)</f>
        <v>HP_</v>
      </c>
      <c r="AG155" s="627" t="str">
        <f t="shared" ref="AG155:AG161" ca="1" si="86">RIGHT(W155,LEN(W155)-FIND("!",W155))</f>
        <v>C51</v>
      </c>
      <c r="AH155" s="628" t="str">
        <f t="shared" ref="AH155:AH161" ca="1" si="87">RIGHT(X155,LEN(X155)-FIND("!",X155))</f>
        <v>D51</v>
      </c>
      <c r="AI155" s="628" t="str">
        <f t="shared" ref="AI155:AI161" ca="1" si="88">RIGHT(Y155,LEN(Y155)-FIND("!",Y155))</f>
        <v>E51</v>
      </c>
      <c r="AJ155" s="628" t="str">
        <f t="shared" ref="AJ155:AJ161" ca="1" si="89">RIGHT(Z155,LEN(Z155)-FIND("!",Z155))</f>
        <v>F51</v>
      </c>
      <c r="AK155" s="630" t="str">
        <f t="shared" ref="AK155:AK161" ca="1" si="90">RIGHT(AA155,LEN(AA155)-FIND("!",AA155))</f>
        <v>G51</v>
      </c>
    </row>
    <row r="156" spans="1:37">
      <c r="A156" s="607" t="str">
        <f t="shared" si="73"/>
        <v>High Temperature COP  (kW/kW)</v>
      </c>
      <c r="B156" s="608">
        <f>IF(E127="Yes",1,0)</f>
        <v>1</v>
      </c>
      <c r="C156" s="620">
        <f t="shared" si="75"/>
        <v>0</v>
      </c>
      <c r="D156" s="621">
        <f t="shared" si="74"/>
        <v>0</v>
      </c>
      <c r="E156" s="621">
        <f t="shared" si="74"/>
        <v>0</v>
      </c>
      <c r="F156" s="621">
        <f t="shared" si="74"/>
        <v>0</v>
      </c>
      <c r="G156" s="622">
        <f t="shared" si="74"/>
        <v>0</v>
      </c>
      <c r="H156" s="623">
        <f>HP_1!C55</f>
        <v>0</v>
      </c>
      <c r="I156" s="624">
        <f>HP_1!D55</f>
        <v>0</v>
      </c>
      <c r="J156" s="624">
        <f>HP_1!E55</f>
        <v>0</v>
      </c>
      <c r="K156" s="624">
        <f>HP_1!F55</f>
        <v>0</v>
      </c>
      <c r="L156" s="625">
        <f>HP_1!G55</f>
        <v>0</v>
      </c>
      <c r="M156" s="620" cm="1">
        <f t="array" aca="1" ref="M156" ca="1">INDIRECT(AB156&amp;M$151&amp;"!"&amp;AG156)</f>
        <v>0</v>
      </c>
      <c r="N156" s="621" cm="1">
        <f t="array" aca="1" ref="N156" ca="1">INDIRECT(AC156&amp;N$151&amp;"!"&amp;AH156)</f>
        <v>0</v>
      </c>
      <c r="O156" s="621" cm="1">
        <f t="array" aca="1" ref="O156" ca="1">INDIRECT(AD156&amp;O$151&amp;"!"&amp;AI156)</f>
        <v>0</v>
      </c>
      <c r="P156" s="621" cm="1">
        <f t="array" aca="1" ref="P156" ca="1">INDIRECT(AE156&amp;P$151&amp;"!"&amp;AJ156)</f>
        <v>0</v>
      </c>
      <c r="Q156" s="622" cm="1">
        <f t="array" aca="1" ref="Q156" ca="1">INDIRECT(AF156&amp;Q$151&amp;"!"&amp;AK156)</f>
        <v>0</v>
      </c>
      <c r="R156" s="620" cm="1">
        <f t="array" aca="1" ref="R156" ca="1">INDIRECT(AB156&amp;R$151&amp;"!"&amp;AG156)</f>
        <v>0</v>
      </c>
      <c r="S156" s="621" cm="1">
        <f t="array" aca="1" ref="S156" ca="1">INDIRECT(AC156&amp;S$151&amp;"!"&amp;AH156)</f>
        <v>0</v>
      </c>
      <c r="T156" s="621" cm="1">
        <f t="array" aca="1" ref="T156" ca="1">INDIRECT(AD156&amp;T$151&amp;"!"&amp;AI156)</f>
        <v>0</v>
      </c>
      <c r="U156" s="621" cm="1">
        <f t="array" aca="1" ref="U156" ca="1">INDIRECT(AE156&amp;U$151&amp;"!"&amp;AJ156)</f>
        <v>0</v>
      </c>
      <c r="V156" s="626" cm="1">
        <f t="array" aca="1" ref="V156" ca="1">INDIRECT(AF156&amp;V$151&amp;"!"&amp;AK156)</f>
        <v>0</v>
      </c>
      <c r="W156" s="627" t="str">
        <f t="shared" ca="1" si="76"/>
        <v>HP_1!C55</v>
      </c>
      <c r="X156" s="628" t="str">
        <f t="shared" ca="1" si="77"/>
        <v>HP_1!D55</v>
      </c>
      <c r="Y156" s="628" t="str">
        <f t="shared" ca="1" si="78"/>
        <v>HP_1!E55</v>
      </c>
      <c r="Z156" s="628" t="str">
        <f t="shared" ca="1" si="79"/>
        <v>HP_1!F55</v>
      </c>
      <c r="AA156" s="629" t="str">
        <f t="shared" ca="1" si="80"/>
        <v>HP_1!G55</v>
      </c>
      <c r="AB156" s="627" t="str">
        <f t="shared" ca="1" si="81"/>
        <v>HP_</v>
      </c>
      <c r="AC156" s="628" t="str">
        <f t="shared" ca="1" si="82"/>
        <v>HP_</v>
      </c>
      <c r="AD156" s="628" t="str">
        <f t="shared" ca="1" si="83"/>
        <v>HP_</v>
      </c>
      <c r="AE156" s="628" t="str">
        <f t="shared" ca="1" si="84"/>
        <v>HP_</v>
      </c>
      <c r="AF156" s="629" t="str">
        <f t="shared" ca="1" si="85"/>
        <v>HP_</v>
      </c>
      <c r="AG156" s="627" t="str">
        <f t="shared" ca="1" si="86"/>
        <v>C55</v>
      </c>
      <c r="AH156" s="628" t="str">
        <f t="shared" ca="1" si="87"/>
        <v>D55</v>
      </c>
      <c r="AI156" s="628" t="str">
        <f t="shared" ca="1" si="88"/>
        <v>E55</v>
      </c>
      <c r="AJ156" s="628" t="str">
        <f t="shared" ca="1" si="89"/>
        <v>F55</v>
      </c>
      <c r="AK156" s="630" t="str">
        <f t="shared" ca="1" si="90"/>
        <v>G55</v>
      </c>
    </row>
    <row r="157" spans="1:37" ht="13.5" thickBot="1">
      <c r="A157" s="607" t="str">
        <f t="shared" si="73"/>
        <v>Very high Temperature COP  (kW/kW)</v>
      </c>
      <c r="B157" s="608">
        <f>IF(E130="Yes",1,0)</f>
        <v>0</v>
      </c>
      <c r="C157" s="631">
        <f t="shared" si="75"/>
        <v>0</v>
      </c>
      <c r="D157" s="632">
        <f t="shared" si="74"/>
        <v>0</v>
      </c>
      <c r="E157" s="632">
        <f t="shared" si="74"/>
        <v>0</v>
      </c>
      <c r="F157" s="632">
        <f t="shared" si="74"/>
        <v>0</v>
      </c>
      <c r="G157" s="633">
        <f t="shared" si="74"/>
        <v>0</v>
      </c>
      <c r="H157" s="634">
        <f>HP_1!C59</f>
        <v>0</v>
      </c>
      <c r="I157" s="635">
        <f>HP_1!D59</f>
        <v>0</v>
      </c>
      <c r="J157" s="635">
        <f>HP_1!E59</f>
        <v>0</v>
      </c>
      <c r="K157" s="635">
        <f>HP_1!F59</f>
        <v>0</v>
      </c>
      <c r="L157" s="636">
        <f>HP_1!G59</f>
        <v>0</v>
      </c>
      <c r="M157" s="631" cm="1">
        <f t="array" aca="1" ref="M157" ca="1">INDIRECT(AB157&amp;M$151&amp;"!"&amp;AG157)</f>
        <v>0</v>
      </c>
      <c r="N157" s="632" cm="1">
        <f t="array" aca="1" ref="N157" ca="1">INDIRECT(AC157&amp;N$151&amp;"!"&amp;AH157)</f>
        <v>0</v>
      </c>
      <c r="O157" s="632" cm="1">
        <f t="array" aca="1" ref="O157" ca="1">INDIRECT(AD157&amp;O$151&amp;"!"&amp;AI157)</f>
        <v>0</v>
      </c>
      <c r="P157" s="632" cm="1">
        <f t="array" aca="1" ref="P157" ca="1">INDIRECT(AE157&amp;P$151&amp;"!"&amp;AJ157)</f>
        <v>0</v>
      </c>
      <c r="Q157" s="633" cm="1">
        <f t="array" aca="1" ref="Q157" ca="1">INDIRECT(AF157&amp;Q$151&amp;"!"&amp;AK157)</f>
        <v>0</v>
      </c>
      <c r="R157" s="631" cm="1">
        <f t="array" aca="1" ref="R157" ca="1">INDIRECT(AB157&amp;R$151&amp;"!"&amp;AG157)</f>
        <v>0</v>
      </c>
      <c r="S157" s="632" cm="1">
        <f t="array" aca="1" ref="S157" ca="1">INDIRECT(AC157&amp;S$151&amp;"!"&amp;AH157)</f>
        <v>0</v>
      </c>
      <c r="T157" s="632" cm="1">
        <f t="array" aca="1" ref="T157" ca="1">INDIRECT(AD157&amp;T$151&amp;"!"&amp;AI157)</f>
        <v>0</v>
      </c>
      <c r="U157" s="632" cm="1">
        <f t="array" aca="1" ref="U157" ca="1">INDIRECT(AE157&amp;U$151&amp;"!"&amp;AJ157)</f>
        <v>0</v>
      </c>
      <c r="V157" s="637" cm="1">
        <f t="array" aca="1" ref="V157" ca="1">INDIRECT(AF157&amp;V$151&amp;"!"&amp;AK157)</f>
        <v>0</v>
      </c>
      <c r="W157" s="638" t="str">
        <f t="shared" ca="1" si="76"/>
        <v>HP_1!C59</v>
      </c>
      <c r="X157" s="639" t="str">
        <f t="shared" ca="1" si="77"/>
        <v>HP_1!D59</v>
      </c>
      <c r="Y157" s="639" t="str">
        <f t="shared" ca="1" si="78"/>
        <v>HP_1!E59</v>
      </c>
      <c r="Z157" s="639" t="str">
        <f t="shared" ca="1" si="79"/>
        <v>HP_1!F59</v>
      </c>
      <c r="AA157" s="640" t="str">
        <f t="shared" ca="1" si="80"/>
        <v>HP_1!G59</v>
      </c>
      <c r="AB157" s="638" t="str">
        <f t="shared" ca="1" si="81"/>
        <v>HP_</v>
      </c>
      <c r="AC157" s="639" t="str">
        <f t="shared" ca="1" si="82"/>
        <v>HP_</v>
      </c>
      <c r="AD157" s="639" t="str">
        <f t="shared" ca="1" si="83"/>
        <v>HP_</v>
      </c>
      <c r="AE157" s="639" t="str">
        <f t="shared" ca="1" si="84"/>
        <v>HP_</v>
      </c>
      <c r="AF157" s="640" t="str">
        <f t="shared" ca="1" si="85"/>
        <v>HP_</v>
      </c>
      <c r="AG157" s="638" t="str">
        <f t="shared" ca="1" si="86"/>
        <v>C59</v>
      </c>
      <c r="AH157" s="639" t="str">
        <f t="shared" ca="1" si="87"/>
        <v>D59</v>
      </c>
      <c r="AI157" s="639" t="str">
        <f t="shared" ca="1" si="88"/>
        <v>E59</v>
      </c>
      <c r="AJ157" s="639" t="str">
        <f t="shared" ca="1" si="89"/>
        <v>F59</v>
      </c>
      <c r="AK157" s="641" t="str">
        <f t="shared" ca="1" si="90"/>
        <v>G59</v>
      </c>
    </row>
    <row r="158" spans="1:37">
      <c r="A158" s="607" t="str">
        <f t="shared" si="73"/>
        <v>Low Temperature Heating Capacity (kW)</v>
      </c>
      <c r="B158" s="608">
        <f>B154</f>
        <v>0</v>
      </c>
      <c r="C158" s="620">
        <f t="shared" si="75"/>
        <v>0</v>
      </c>
      <c r="D158" s="621">
        <f t="shared" si="74"/>
        <v>0</v>
      </c>
      <c r="E158" s="621">
        <f t="shared" si="74"/>
        <v>0</v>
      </c>
      <c r="F158" s="621">
        <f t="shared" si="74"/>
        <v>0</v>
      </c>
      <c r="G158" s="622">
        <f t="shared" si="74"/>
        <v>0</v>
      </c>
      <c r="H158" s="623">
        <f>HP_1!C46</f>
        <v>0</v>
      </c>
      <c r="I158" s="624">
        <f>HP_1!D46</f>
        <v>0</v>
      </c>
      <c r="J158" s="624">
        <f>HP_1!E46</f>
        <v>0</v>
      </c>
      <c r="K158" s="624">
        <f>HP_1!F46</f>
        <v>0</v>
      </c>
      <c r="L158" s="625">
        <f>HP_1!G46</f>
        <v>0</v>
      </c>
      <c r="M158" s="620" cm="1">
        <f t="array" aca="1" ref="M158" ca="1">INDIRECT(AB158&amp;M$151&amp;"!"&amp;AG158)</f>
        <v>0</v>
      </c>
      <c r="N158" s="621" cm="1">
        <f t="array" aca="1" ref="N158" ca="1">INDIRECT(AC158&amp;N$151&amp;"!"&amp;AH158)</f>
        <v>0</v>
      </c>
      <c r="O158" s="621" cm="1">
        <f t="array" aca="1" ref="O158" ca="1">INDIRECT(AD158&amp;O$151&amp;"!"&amp;AI158)</f>
        <v>0</v>
      </c>
      <c r="P158" s="621" cm="1">
        <f t="array" aca="1" ref="P158" ca="1">INDIRECT(AE158&amp;P$151&amp;"!"&amp;AJ158)</f>
        <v>0</v>
      </c>
      <c r="Q158" s="622" cm="1">
        <f t="array" aca="1" ref="Q158" ca="1">INDIRECT(AF158&amp;Q$151&amp;"!"&amp;AK158)</f>
        <v>0</v>
      </c>
      <c r="R158" s="620" cm="1">
        <f t="array" aca="1" ref="R158" ca="1">INDIRECT(AB158&amp;R$151&amp;"!"&amp;AG158)</f>
        <v>0</v>
      </c>
      <c r="S158" s="621" cm="1">
        <f t="array" aca="1" ref="S158" ca="1">INDIRECT(AC158&amp;S$151&amp;"!"&amp;AH158)</f>
        <v>0</v>
      </c>
      <c r="T158" s="621" cm="1">
        <f t="array" aca="1" ref="T158" ca="1">INDIRECT(AD158&amp;T$151&amp;"!"&amp;AI158)</f>
        <v>0</v>
      </c>
      <c r="U158" s="621" cm="1">
        <f t="array" aca="1" ref="U158" ca="1">INDIRECT(AE158&amp;U$151&amp;"!"&amp;AJ158)</f>
        <v>0</v>
      </c>
      <c r="V158" s="626" cm="1">
        <f t="array" aca="1" ref="V158" ca="1">INDIRECT(AF158&amp;V$151&amp;"!"&amp;AK158)</f>
        <v>0</v>
      </c>
      <c r="W158" s="627" t="str">
        <f t="shared" ca="1" si="76"/>
        <v>HP_1!C46</v>
      </c>
      <c r="X158" s="628" t="str">
        <f t="shared" ca="1" si="77"/>
        <v>HP_1!D46</v>
      </c>
      <c r="Y158" s="628" t="str">
        <f t="shared" ca="1" si="78"/>
        <v>HP_1!E46</v>
      </c>
      <c r="Z158" s="628" t="str">
        <f t="shared" ca="1" si="79"/>
        <v>HP_1!F46</v>
      </c>
      <c r="AA158" s="629" t="str">
        <f t="shared" ca="1" si="80"/>
        <v>HP_1!G46</v>
      </c>
      <c r="AB158" s="627" t="str">
        <f t="shared" ca="1" si="81"/>
        <v>HP_</v>
      </c>
      <c r="AC158" s="628" t="str">
        <f t="shared" ca="1" si="82"/>
        <v>HP_</v>
      </c>
      <c r="AD158" s="628" t="str">
        <f t="shared" ca="1" si="83"/>
        <v>HP_</v>
      </c>
      <c r="AE158" s="628" t="str">
        <f t="shared" ca="1" si="84"/>
        <v>HP_</v>
      </c>
      <c r="AF158" s="629" t="str">
        <f t="shared" ca="1" si="85"/>
        <v>HP_</v>
      </c>
      <c r="AG158" s="627" t="str">
        <f t="shared" ca="1" si="86"/>
        <v>C46</v>
      </c>
      <c r="AH158" s="628" t="str">
        <f t="shared" ca="1" si="87"/>
        <v>D46</v>
      </c>
      <c r="AI158" s="628" t="str">
        <f t="shared" ca="1" si="88"/>
        <v>E46</v>
      </c>
      <c r="AJ158" s="628" t="str">
        <f t="shared" ca="1" si="89"/>
        <v>F46</v>
      </c>
      <c r="AK158" s="630" t="str">
        <f t="shared" ca="1" si="90"/>
        <v>G46</v>
      </c>
    </row>
    <row r="159" spans="1:37">
      <c r="A159" s="607" t="str">
        <f t="shared" si="73"/>
        <v>Medium Temperature Heating Capacity (kW)</v>
      </c>
      <c r="B159" s="608">
        <f>B155</f>
        <v>0</v>
      </c>
      <c r="C159" s="620">
        <f t="shared" si="75"/>
        <v>0</v>
      </c>
      <c r="D159" s="621">
        <f t="shared" si="74"/>
        <v>0</v>
      </c>
      <c r="E159" s="621">
        <f t="shared" si="74"/>
        <v>0</v>
      </c>
      <c r="F159" s="621">
        <f t="shared" si="74"/>
        <v>0</v>
      </c>
      <c r="G159" s="622">
        <f t="shared" si="74"/>
        <v>0</v>
      </c>
      <c r="H159" s="623">
        <f>HP_1!C50</f>
        <v>0</v>
      </c>
      <c r="I159" s="624">
        <f>HP_1!D50</f>
        <v>0</v>
      </c>
      <c r="J159" s="624">
        <f>HP_1!E50</f>
        <v>0</v>
      </c>
      <c r="K159" s="624">
        <f>HP_1!F50</f>
        <v>0</v>
      </c>
      <c r="L159" s="625">
        <f>HP_1!G50</f>
        <v>0</v>
      </c>
      <c r="M159" s="620" cm="1">
        <f t="array" aca="1" ref="M159" ca="1">INDIRECT(AB159&amp;M$151&amp;"!"&amp;AG159)</f>
        <v>0</v>
      </c>
      <c r="N159" s="621" cm="1">
        <f t="array" aca="1" ref="N159" ca="1">INDIRECT(AC159&amp;N$151&amp;"!"&amp;AH159)</f>
        <v>0</v>
      </c>
      <c r="O159" s="621" cm="1">
        <f t="array" aca="1" ref="O159" ca="1">INDIRECT(AD159&amp;O$151&amp;"!"&amp;AI159)</f>
        <v>0</v>
      </c>
      <c r="P159" s="621" cm="1">
        <f t="array" aca="1" ref="P159" ca="1">INDIRECT(AE159&amp;P$151&amp;"!"&amp;AJ159)</f>
        <v>0</v>
      </c>
      <c r="Q159" s="622" cm="1">
        <f t="array" aca="1" ref="Q159" ca="1">INDIRECT(AF159&amp;Q$151&amp;"!"&amp;AK159)</f>
        <v>0</v>
      </c>
      <c r="R159" s="620" cm="1">
        <f t="array" aca="1" ref="R159" ca="1">INDIRECT(AB159&amp;R$151&amp;"!"&amp;AG159)</f>
        <v>0</v>
      </c>
      <c r="S159" s="621" cm="1">
        <f t="array" aca="1" ref="S159" ca="1">INDIRECT(AC159&amp;S$151&amp;"!"&amp;AH159)</f>
        <v>0</v>
      </c>
      <c r="T159" s="621" cm="1">
        <f t="array" aca="1" ref="T159" ca="1">INDIRECT(AD159&amp;T$151&amp;"!"&amp;AI159)</f>
        <v>0</v>
      </c>
      <c r="U159" s="621" cm="1">
        <f t="array" aca="1" ref="U159" ca="1">INDIRECT(AE159&amp;U$151&amp;"!"&amp;AJ159)</f>
        <v>0</v>
      </c>
      <c r="V159" s="626" cm="1">
        <f t="array" aca="1" ref="V159" ca="1">INDIRECT(AF159&amp;V$151&amp;"!"&amp;AK159)</f>
        <v>0</v>
      </c>
      <c r="W159" s="627" t="str">
        <f t="shared" ca="1" si="76"/>
        <v>HP_1!C50</v>
      </c>
      <c r="X159" s="628" t="str">
        <f t="shared" ca="1" si="77"/>
        <v>HP_1!D50</v>
      </c>
      <c r="Y159" s="628" t="str">
        <f t="shared" ca="1" si="78"/>
        <v>HP_1!E50</v>
      </c>
      <c r="Z159" s="628" t="str">
        <f t="shared" ca="1" si="79"/>
        <v>HP_1!F50</v>
      </c>
      <c r="AA159" s="629" t="str">
        <f t="shared" ca="1" si="80"/>
        <v>HP_1!G50</v>
      </c>
      <c r="AB159" s="627" t="str">
        <f t="shared" ca="1" si="81"/>
        <v>HP_</v>
      </c>
      <c r="AC159" s="628" t="str">
        <f t="shared" ca="1" si="82"/>
        <v>HP_</v>
      </c>
      <c r="AD159" s="628" t="str">
        <f t="shared" ca="1" si="83"/>
        <v>HP_</v>
      </c>
      <c r="AE159" s="628" t="str">
        <f t="shared" ca="1" si="84"/>
        <v>HP_</v>
      </c>
      <c r="AF159" s="629" t="str">
        <f t="shared" ca="1" si="85"/>
        <v>HP_</v>
      </c>
      <c r="AG159" s="627" t="str">
        <f t="shared" ca="1" si="86"/>
        <v>C50</v>
      </c>
      <c r="AH159" s="628" t="str">
        <f t="shared" ca="1" si="87"/>
        <v>D50</v>
      </c>
      <c r="AI159" s="628" t="str">
        <f t="shared" ca="1" si="88"/>
        <v>E50</v>
      </c>
      <c r="AJ159" s="628" t="str">
        <f t="shared" ca="1" si="89"/>
        <v>F50</v>
      </c>
      <c r="AK159" s="630" t="str">
        <f t="shared" ca="1" si="90"/>
        <v>G50</v>
      </c>
    </row>
    <row r="160" spans="1:37">
      <c r="A160" s="607" t="str">
        <f t="shared" si="73"/>
        <v>High Temperature Heating Capacity (kW)</v>
      </c>
      <c r="B160" s="608">
        <f>B156</f>
        <v>1</v>
      </c>
      <c r="C160" s="620">
        <f t="shared" si="75"/>
        <v>0</v>
      </c>
      <c r="D160" s="621">
        <f t="shared" si="74"/>
        <v>0</v>
      </c>
      <c r="E160" s="621">
        <f t="shared" si="74"/>
        <v>0</v>
      </c>
      <c r="F160" s="621">
        <f t="shared" si="74"/>
        <v>0</v>
      </c>
      <c r="G160" s="622">
        <f t="shared" si="74"/>
        <v>0</v>
      </c>
      <c r="H160" s="623">
        <f>HP_1!C54</f>
        <v>0</v>
      </c>
      <c r="I160" s="624">
        <f>HP_1!D54</f>
        <v>0</v>
      </c>
      <c r="J160" s="624">
        <f>HP_1!E54</f>
        <v>0</v>
      </c>
      <c r="K160" s="624">
        <f>HP_1!F54</f>
        <v>0</v>
      </c>
      <c r="L160" s="625">
        <f>HP_1!G54</f>
        <v>0</v>
      </c>
      <c r="M160" s="620" cm="1">
        <f t="array" aca="1" ref="M160" ca="1">INDIRECT(AB160&amp;M$151&amp;"!"&amp;AG160)</f>
        <v>0</v>
      </c>
      <c r="N160" s="621" cm="1">
        <f t="array" aca="1" ref="N160" ca="1">INDIRECT(AC160&amp;N$151&amp;"!"&amp;AH160)</f>
        <v>0</v>
      </c>
      <c r="O160" s="621" cm="1">
        <f t="array" aca="1" ref="O160" ca="1">INDIRECT(AD160&amp;O$151&amp;"!"&amp;AI160)</f>
        <v>0</v>
      </c>
      <c r="P160" s="621" cm="1">
        <f t="array" aca="1" ref="P160" ca="1">INDIRECT(AE160&amp;P$151&amp;"!"&amp;AJ160)</f>
        <v>0</v>
      </c>
      <c r="Q160" s="622" cm="1">
        <f t="array" aca="1" ref="Q160" ca="1">INDIRECT(AF160&amp;Q$151&amp;"!"&amp;AK160)</f>
        <v>0</v>
      </c>
      <c r="R160" s="620" cm="1">
        <f t="array" aca="1" ref="R160" ca="1">INDIRECT(AB160&amp;R$151&amp;"!"&amp;AG160)</f>
        <v>0</v>
      </c>
      <c r="S160" s="621" cm="1">
        <f t="array" aca="1" ref="S160" ca="1">INDIRECT(AC160&amp;S$151&amp;"!"&amp;AH160)</f>
        <v>0</v>
      </c>
      <c r="T160" s="621" cm="1">
        <f t="array" aca="1" ref="T160" ca="1">INDIRECT(AD160&amp;T$151&amp;"!"&amp;AI160)</f>
        <v>0</v>
      </c>
      <c r="U160" s="621" cm="1">
        <f t="array" aca="1" ref="U160" ca="1">INDIRECT(AE160&amp;U$151&amp;"!"&amp;AJ160)</f>
        <v>0</v>
      </c>
      <c r="V160" s="626" cm="1">
        <f t="array" aca="1" ref="V160" ca="1">INDIRECT(AF160&amp;V$151&amp;"!"&amp;AK160)</f>
        <v>0</v>
      </c>
      <c r="W160" s="627" t="str">
        <f t="shared" ca="1" si="76"/>
        <v>HP_1!C54</v>
      </c>
      <c r="X160" s="628" t="str">
        <f t="shared" ca="1" si="77"/>
        <v>HP_1!D54</v>
      </c>
      <c r="Y160" s="628" t="str">
        <f t="shared" ca="1" si="78"/>
        <v>HP_1!E54</v>
      </c>
      <c r="Z160" s="628" t="str">
        <f t="shared" ca="1" si="79"/>
        <v>HP_1!F54</v>
      </c>
      <c r="AA160" s="629" t="str">
        <f t="shared" ca="1" si="80"/>
        <v>HP_1!G54</v>
      </c>
      <c r="AB160" s="627" t="str">
        <f t="shared" ca="1" si="81"/>
        <v>HP_</v>
      </c>
      <c r="AC160" s="628" t="str">
        <f t="shared" ca="1" si="82"/>
        <v>HP_</v>
      </c>
      <c r="AD160" s="628" t="str">
        <f t="shared" ca="1" si="83"/>
        <v>HP_</v>
      </c>
      <c r="AE160" s="628" t="str">
        <f t="shared" ca="1" si="84"/>
        <v>HP_</v>
      </c>
      <c r="AF160" s="629" t="str">
        <f t="shared" ca="1" si="85"/>
        <v>HP_</v>
      </c>
      <c r="AG160" s="627" t="str">
        <f t="shared" ca="1" si="86"/>
        <v>C54</v>
      </c>
      <c r="AH160" s="628" t="str">
        <f t="shared" ca="1" si="87"/>
        <v>D54</v>
      </c>
      <c r="AI160" s="628" t="str">
        <f t="shared" ca="1" si="88"/>
        <v>E54</v>
      </c>
      <c r="AJ160" s="628" t="str">
        <f t="shared" ca="1" si="89"/>
        <v>F54</v>
      </c>
      <c r="AK160" s="630" t="str">
        <f t="shared" ca="1" si="90"/>
        <v>G54</v>
      </c>
    </row>
    <row r="161" spans="1:37" ht="13.5" thickBot="1">
      <c r="A161" s="642" t="str">
        <f t="shared" si="73"/>
        <v>Very high Temperature Heating Capacity (kW)</v>
      </c>
      <c r="B161" s="643">
        <f>B157</f>
        <v>0</v>
      </c>
      <c r="C161" s="631">
        <f t="shared" si="75"/>
        <v>0</v>
      </c>
      <c r="D161" s="632">
        <f t="shared" si="74"/>
        <v>0</v>
      </c>
      <c r="E161" s="632">
        <f t="shared" si="74"/>
        <v>0</v>
      </c>
      <c r="F161" s="632">
        <f t="shared" si="74"/>
        <v>0</v>
      </c>
      <c r="G161" s="633">
        <f t="shared" si="74"/>
        <v>0</v>
      </c>
      <c r="H161" s="634">
        <f>HP_1!C58</f>
        <v>0</v>
      </c>
      <c r="I161" s="635">
        <f>HP_1!D58</f>
        <v>0</v>
      </c>
      <c r="J161" s="635">
        <f>HP_1!E58</f>
        <v>0</v>
      </c>
      <c r="K161" s="635">
        <f>HP_1!F58</f>
        <v>0</v>
      </c>
      <c r="L161" s="636">
        <f>HP_1!G58</f>
        <v>0</v>
      </c>
      <c r="M161" s="631" cm="1">
        <f t="array" aca="1" ref="M161" ca="1">INDIRECT(AB161&amp;M$151&amp;"!"&amp;AG161)</f>
        <v>0</v>
      </c>
      <c r="N161" s="632" cm="1">
        <f t="array" aca="1" ref="N161" ca="1">INDIRECT(AC161&amp;N$151&amp;"!"&amp;AH161)</f>
        <v>0</v>
      </c>
      <c r="O161" s="632" cm="1">
        <f t="array" aca="1" ref="O161" ca="1">INDIRECT(AD161&amp;O$151&amp;"!"&amp;AI161)</f>
        <v>0</v>
      </c>
      <c r="P161" s="632" cm="1">
        <f t="array" aca="1" ref="P161" ca="1">INDIRECT(AE161&amp;P$151&amp;"!"&amp;AJ161)</f>
        <v>0</v>
      </c>
      <c r="Q161" s="633" cm="1">
        <f t="array" aca="1" ref="Q161" ca="1">INDIRECT(AF161&amp;Q$151&amp;"!"&amp;AK161)</f>
        <v>0</v>
      </c>
      <c r="R161" s="631" cm="1">
        <f t="array" aca="1" ref="R161" ca="1">INDIRECT(AB161&amp;R$151&amp;"!"&amp;AG161)</f>
        <v>0</v>
      </c>
      <c r="S161" s="632" cm="1">
        <f t="array" aca="1" ref="S161" ca="1">INDIRECT(AC161&amp;S$151&amp;"!"&amp;AH161)</f>
        <v>0</v>
      </c>
      <c r="T161" s="632" cm="1">
        <f t="array" aca="1" ref="T161" ca="1">INDIRECT(AD161&amp;T$151&amp;"!"&amp;AI161)</f>
        <v>0</v>
      </c>
      <c r="U161" s="632" cm="1">
        <f t="array" aca="1" ref="U161" ca="1">INDIRECT(AE161&amp;U$151&amp;"!"&amp;AJ161)</f>
        <v>0</v>
      </c>
      <c r="V161" s="637" cm="1">
        <f t="array" aca="1" ref="V161" ca="1">INDIRECT(AF161&amp;V$151&amp;"!"&amp;AK161)</f>
        <v>0</v>
      </c>
      <c r="W161" s="638" t="str">
        <f t="shared" ca="1" si="76"/>
        <v>HP_1!C58</v>
      </c>
      <c r="X161" s="639" t="str">
        <f t="shared" ca="1" si="77"/>
        <v>HP_1!D58</v>
      </c>
      <c r="Y161" s="639" t="str">
        <f t="shared" ca="1" si="78"/>
        <v>HP_1!E58</v>
      </c>
      <c r="Z161" s="639" t="str">
        <f t="shared" ca="1" si="79"/>
        <v>HP_1!F58</v>
      </c>
      <c r="AA161" s="640" t="str">
        <f t="shared" ca="1" si="80"/>
        <v>HP_1!G58</v>
      </c>
      <c r="AB161" s="638" t="str">
        <f t="shared" ca="1" si="81"/>
        <v>HP_</v>
      </c>
      <c r="AC161" s="639" t="str">
        <f t="shared" ca="1" si="82"/>
        <v>HP_</v>
      </c>
      <c r="AD161" s="639" t="str">
        <f t="shared" ca="1" si="83"/>
        <v>HP_</v>
      </c>
      <c r="AE161" s="639" t="str">
        <f t="shared" ca="1" si="84"/>
        <v>HP_</v>
      </c>
      <c r="AF161" s="640" t="str">
        <f t="shared" ca="1" si="85"/>
        <v>HP_</v>
      </c>
      <c r="AG161" s="638" t="str">
        <f t="shared" ca="1" si="86"/>
        <v>C58</v>
      </c>
      <c r="AH161" s="639" t="str">
        <f t="shared" ca="1" si="87"/>
        <v>D58</v>
      </c>
      <c r="AI161" s="639" t="str">
        <f t="shared" ca="1" si="88"/>
        <v>E58</v>
      </c>
      <c r="AJ161" s="639" t="str">
        <f t="shared" ca="1" si="89"/>
        <v>F58</v>
      </c>
      <c r="AK161" s="641" t="str">
        <f t="shared" ca="1" si="90"/>
        <v>G58</v>
      </c>
    </row>
  </sheetData>
  <sheetProtection algorithmName="SHA-512" hashValue="aM1RKff6WT0T3oTXL/5W4w0zAmDmtfKmuDAnmVFfrSvn6UiavahpMU71qYjPOkO2ey04W5eZVWns3Ejo9eYpRQ==" saltValue="DjZYXkXT4EZpwvG8vM03rQ==" spinCount="100000" sheet="1" objects="1" scenarios="1"/>
  <autoFilter ref="A1:AD56" xr:uid="{00000000-0009-0000-0000-000013000000}"/>
  <mergeCells count="5">
    <mergeCell ref="AF3:AI3"/>
    <mergeCell ref="C40:H40"/>
    <mergeCell ref="W151:AA151"/>
    <mergeCell ref="AB151:AF151"/>
    <mergeCell ref="AG151:AK151"/>
  </mergeCells>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3C38-386D-4701-89F1-BAFB46AAAE75}">
  <dimension ref="A1:AK161"/>
  <sheetViews>
    <sheetView topLeftCell="M1" zoomScaleNormal="100" workbookViewId="0">
      <selection activeCell="X8" sqref="X8"/>
    </sheetView>
  </sheetViews>
  <sheetFormatPr defaultColWidth="9.140625" defaultRowHeight="12.75"/>
  <cols>
    <col min="1" max="1" width="47.140625" style="80" customWidth="1"/>
    <col min="2" max="2" width="39" style="80" customWidth="1"/>
    <col min="3" max="3" width="9.5703125" style="80" bestFit="1" customWidth="1"/>
    <col min="4" max="4" width="11.5703125" style="80" bestFit="1" customWidth="1"/>
    <col min="5" max="7" width="15" style="80" customWidth="1"/>
    <col min="8" max="8" width="11.85546875" style="80" customWidth="1"/>
    <col min="9" max="9" width="73.42578125" style="80" customWidth="1"/>
    <col min="10" max="10" width="35.42578125" style="80" customWidth="1"/>
    <col min="11" max="11" width="14.5703125" style="80" customWidth="1"/>
    <col min="12" max="12" width="36.140625" style="82" customWidth="1"/>
    <col min="13" max="13" width="14.5703125" style="80" customWidth="1"/>
    <col min="14" max="14" width="9.140625" style="80"/>
    <col min="15" max="15" width="15.85546875" style="80" customWidth="1"/>
    <col min="16" max="16" width="15.5703125" style="80" customWidth="1"/>
    <col min="17" max="19" width="16.85546875" style="80" customWidth="1"/>
    <col min="20" max="20" width="20" style="80" customWidth="1"/>
    <col min="21" max="21" width="18.5703125" style="80" customWidth="1"/>
    <col min="22" max="22" width="11.42578125" style="80" customWidth="1"/>
    <col min="23" max="23" width="10.85546875" style="80" customWidth="1"/>
    <col min="24" max="24" width="9.140625" style="80"/>
    <col min="25" max="25" width="11.5703125" style="80" customWidth="1"/>
    <col min="26" max="27" width="14.5703125" style="80" customWidth="1"/>
    <col min="28" max="28" width="12.5703125" style="80" customWidth="1"/>
    <col min="29" max="29" width="26" style="82" customWidth="1"/>
    <col min="30" max="31" width="11.42578125" style="80" customWidth="1"/>
    <col min="32" max="16384" width="9.140625" style="80"/>
  </cols>
  <sheetData>
    <row r="1" spans="1:35" ht="18.75" thickBot="1">
      <c r="A1" s="522" t="s">
        <v>447</v>
      </c>
      <c r="C1" s="80" t="s">
        <v>448</v>
      </c>
      <c r="D1" s="80" t="s">
        <v>449</v>
      </c>
      <c r="E1" s="80" t="s">
        <v>450</v>
      </c>
      <c r="F1" s="80" t="s">
        <v>451</v>
      </c>
      <c r="G1" s="80" t="s">
        <v>452</v>
      </c>
      <c r="H1" s="80" t="s">
        <v>453</v>
      </c>
      <c r="I1" s="523" t="s">
        <v>454</v>
      </c>
      <c r="J1" s="258" t="s">
        <v>200</v>
      </c>
      <c r="K1" s="259">
        <v>2</v>
      </c>
      <c r="L1" s="40"/>
      <c r="M1" s="524"/>
      <c r="N1" s="41"/>
      <c r="O1" s="80" t="s">
        <v>455</v>
      </c>
      <c r="P1" s="80" t="s">
        <v>23</v>
      </c>
      <c r="Q1" s="80" t="s">
        <v>23</v>
      </c>
      <c r="T1" s="81" t="e">
        <f ca="1">IF(E111=24,(1-AG24)*H8,IF(E111=16,(1-AH24)*H8,(1-AI24)*H8))</f>
        <v>#VALUE!</v>
      </c>
      <c r="U1" s="81">
        <f ca="1">H12</f>
        <v>0</v>
      </c>
      <c r="AA1" s="80" t="e">
        <f ca="1">IF(E111=24,(AG24)*H8,IF(E111=16,(AH24)*H8,(AI24)*H8))</f>
        <v>#VALUE!</v>
      </c>
      <c r="AC1" s="40"/>
      <c r="AD1" s="524"/>
    </row>
    <row r="2" spans="1:35" ht="27.6" customHeight="1">
      <c r="A2" s="80" t="s">
        <v>456</v>
      </c>
      <c r="B2" s="525" t="s">
        <v>457</v>
      </c>
      <c r="C2" s="526" t="s">
        <v>458</v>
      </c>
      <c r="D2" s="526" t="s">
        <v>459</v>
      </c>
      <c r="E2" s="526" t="s">
        <v>460</v>
      </c>
      <c r="F2" s="526" t="s">
        <v>461</v>
      </c>
      <c r="G2" s="526" t="s">
        <v>462</v>
      </c>
      <c r="J2" s="527"/>
      <c r="K2" s="523"/>
      <c r="M2" s="523"/>
      <c r="AD2" s="523" t="s">
        <v>23</v>
      </c>
    </row>
    <row r="3" spans="1:35" ht="69.599999999999994" customHeight="1">
      <c r="A3" s="80" t="s">
        <v>463</v>
      </c>
      <c r="B3" s="80" t="s">
        <v>464</v>
      </c>
      <c r="C3" s="81">
        <f ca="1">E101</f>
        <v>0</v>
      </c>
      <c r="D3" s="80">
        <v>-7</v>
      </c>
      <c r="E3" s="80">
        <v>2</v>
      </c>
      <c r="F3" s="80">
        <v>7</v>
      </c>
      <c r="G3" s="80">
        <v>12</v>
      </c>
      <c r="I3" s="528" t="str">
        <f ca="1">"Based on standard "&amp;E100</f>
        <v>Based on standard I.S. EN 14825</v>
      </c>
      <c r="J3" s="527"/>
      <c r="K3" s="523"/>
      <c r="M3" s="523" t="s">
        <v>465</v>
      </c>
      <c r="N3" s="527" t="s">
        <v>369</v>
      </c>
      <c r="O3" s="82" t="s">
        <v>466</v>
      </c>
      <c r="P3" s="82" t="s">
        <v>467</v>
      </c>
      <c r="Q3" s="82" t="s">
        <v>468</v>
      </c>
      <c r="R3" s="82" t="s">
        <v>469</v>
      </c>
      <c r="S3" s="82" t="s">
        <v>470</v>
      </c>
      <c r="T3" s="82" t="s">
        <v>471</v>
      </c>
      <c r="U3" s="82" t="s">
        <v>472</v>
      </c>
      <c r="V3" s="82" t="s">
        <v>473</v>
      </c>
      <c r="W3" s="529" t="s">
        <v>474</v>
      </c>
      <c r="X3" s="529" t="s">
        <v>475</v>
      </c>
      <c r="Y3" s="529" t="s">
        <v>476</v>
      </c>
      <c r="Z3" s="529" t="s">
        <v>477</v>
      </c>
      <c r="AA3" s="527" t="s">
        <v>478</v>
      </c>
      <c r="AB3" s="527" t="s">
        <v>479</v>
      </c>
      <c r="AC3" s="527" t="s">
        <v>480</v>
      </c>
      <c r="AD3" s="523"/>
      <c r="AF3" s="717" t="s">
        <v>481</v>
      </c>
      <c r="AG3" s="717"/>
      <c r="AH3" s="717"/>
      <c r="AI3" s="717"/>
    </row>
    <row r="4" spans="1:35" ht="14.25">
      <c r="A4" s="523" t="s">
        <v>482</v>
      </c>
      <c r="B4" s="80" t="s">
        <v>483</v>
      </c>
      <c r="C4" s="80">
        <v>-12</v>
      </c>
      <c r="D4" s="80">
        <f ca="1">(C3+D3)/2</f>
        <v>-3.5</v>
      </c>
      <c r="E4" s="80">
        <f>(D3+E3)/2</f>
        <v>-2.5</v>
      </c>
      <c r="F4" s="80">
        <f>(E3+F3)/2</f>
        <v>4.5</v>
      </c>
      <c r="G4" s="80">
        <f>(F3+G3)/2</f>
        <v>9.5</v>
      </c>
      <c r="I4" s="528" t="s">
        <v>484</v>
      </c>
      <c r="J4" s="527"/>
      <c r="K4" s="523"/>
      <c r="M4" s="530">
        <f ca="1">C3</f>
        <v>0</v>
      </c>
      <c r="N4" s="81">
        <f ca="1">C41</f>
        <v>0</v>
      </c>
      <c r="O4" s="531">
        <v>-12</v>
      </c>
      <c r="P4" s="532">
        <f>'Meteorological data'!F4</f>
        <v>0</v>
      </c>
      <c r="Q4" s="532">
        <f>'Meteorological data'!G4</f>
        <v>0</v>
      </c>
      <c r="R4" s="533">
        <v>0</v>
      </c>
      <c r="S4" s="534">
        <f t="shared" ref="S4:S51" ca="1" si="0">R4*((24-$E$112)/24)</f>
        <v>0</v>
      </c>
      <c r="T4" s="534" t="e">
        <f ca="1">$T$1*P4</f>
        <v>#VALUE!</v>
      </c>
      <c r="U4" s="534">
        <f ca="1">$U$1*Q4</f>
        <v>0</v>
      </c>
      <c r="V4" s="534" t="e">
        <f t="shared" ref="V4:V51" ca="1" si="1">IF($E$91=TRUE,(T4+U4),T4)</f>
        <v>#VALUE!</v>
      </c>
      <c r="W4" s="81" t="e">
        <f t="shared" ref="W4:W31" ca="1" si="2">$E$105+((($E$107-$E$110)/2)*(($E$105-O4)/($E$105-$E$104)))+((AVERAGE($E$107,$E$110)-$E$105)*(($E$105-O4)/($E$105-$E$104))^(1/$E$108))</f>
        <v>#VALUE!</v>
      </c>
      <c r="X4" s="81">
        <f ca="1">IF($M$4&lt;&gt;-7,(($X$9-$N$4)/($O$9-$M$4))*(O4-$M$4)+$N$4,0.1)</f>
        <v>0</v>
      </c>
      <c r="Y4" s="534" t="e">
        <f ca="1">V4/X4</f>
        <v>#VALUE!</v>
      </c>
      <c r="Z4" s="534" t="e">
        <f ca="1">IF((Y4-S4)&lt;0,0,(Y4-S4))</f>
        <v>#VALUE!</v>
      </c>
      <c r="AA4" s="534" t="e">
        <f ca="1">$AA$1*P4</f>
        <v>#VALUE!</v>
      </c>
      <c r="AB4" s="534" t="e">
        <f ca="1">X4*Z4</f>
        <v>#VALUE!</v>
      </c>
      <c r="AC4" s="535" t="e">
        <f ca="1">AA4+AB4</f>
        <v>#VALUE!</v>
      </c>
      <c r="AF4" s="523" t="s">
        <v>485</v>
      </c>
      <c r="AG4" s="80">
        <v>24</v>
      </c>
      <c r="AH4" s="80">
        <v>16</v>
      </c>
      <c r="AI4" s="80">
        <v>11</v>
      </c>
    </row>
    <row r="5" spans="1:35" ht="14.25">
      <c r="A5" s="523" t="s">
        <v>486</v>
      </c>
      <c r="B5" s="80" t="s">
        <v>483</v>
      </c>
      <c r="C5" s="80">
        <f ca="1">(C3+D3)/2</f>
        <v>-3.5</v>
      </c>
      <c r="D5" s="80">
        <f>(D3+E3)/2</f>
        <v>-2.5</v>
      </c>
      <c r="E5" s="80">
        <f>(E3+F3)/2</f>
        <v>4.5</v>
      </c>
      <c r="F5" s="80">
        <f>(F3+G3)/2</f>
        <v>9.5</v>
      </c>
      <c r="G5" s="80">
        <v>35</v>
      </c>
      <c r="I5" s="528" t="s">
        <v>487</v>
      </c>
      <c r="J5" s="527"/>
      <c r="K5" s="523"/>
      <c r="M5" s="523"/>
      <c r="O5" s="531">
        <f t="shared" ref="O5:O51" si="3">O4+1</f>
        <v>-11</v>
      </c>
      <c r="P5" s="532">
        <f>'Meteorological data'!F5</f>
        <v>0</v>
      </c>
      <c r="Q5" s="532">
        <f>'Meteorological data'!G5</f>
        <v>0</v>
      </c>
      <c r="R5" s="533">
        <v>0</v>
      </c>
      <c r="S5" s="534">
        <f t="shared" ca="1" si="0"/>
        <v>0</v>
      </c>
      <c r="T5" s="534" t="e">
        <f t="shared" ref="T5:T31" ca="1" si="4">$T$1*P5</f>
        <v>#VALUE!</v>
      </c>
      <c r="U5" s="534">
        <f t="shared" ref="U5:U51" ca="1" si="5">$U$1*Q5</f>
        <v>0</v>
      </c>
      <c r="V5" s="534" t="e">
        <f t="shared" ca="1" si="1"/>
        <v>#VALUE!</v>
      </c>
      <c r="W5" s="81" t="e">
        <f t="shared" ca="1" si="2"/>
        <v>#VALUE!</v>
      </c>
      <c r="X5" s="81">
        <f ca="1">IF($M$4&lt;&gt;-7,(($X$9-$N$4)/($O$9-$M$4))*(O5-$M$4)+$N$4,0.1)</f>
        <v>0</v>
      </c>
      <c r="Y5" s="534" t="e">
        <f t="shared" ref="Y5:Y15" ca="1" si="6">V5/X5</f>
        <v>#VALUE!</v>
      </c>
      <c r="Z5" s="534" t="e">
        <f t="shared" ref="Z5:Z31" ca="1" si="7">IF((Y5-S5)&lt;0,0,(Y5-S5))</f>
        <v>#VALUE!</v>
      </c>
      <c r="AA5" s="534" t="e">
        <f t="shared" ref="AA5:AA31" ca="1" si="8">$AA$1*P5</f>
        <v>#VALUE!</v>
      </c>
      <c r="AB5" s="534" t="e">
        <f t="shared" ref="AB5:AB31" ca="1" si="9">X5*Z5</f>
        <v>#VALUE!</v>
      </c>
      <c r="AC5" s="535" t="e">
        <f t="shared" ref="AC5:AC31" ca="1" si="10">AA5+AB5</f>
        <v>#VALUE!</v>
      </c>
      <c r="AF5" s="80">
        <v>0.2</v>
      </c>
      <c r="AG5" s="80">
        <v>0.4</v>
      </c>
      <c r="AH5" s="80">
        <v>0.53</v>
      </c>
      <c r="AI5" s="80">
        <v>0.64</v>
      </c>
    </row>
    <row r="6" spans="1:35" ht="14.25">
      <c r="A6" s="523" t="s">
        <v>488</v>
      </c>
      <c r="B6" s="523" t="s">
        <v>489</v>
      </c>
      <c r="C6" s="80">
        <f ca="1">IF(LEFT($E$98,3)="Air",C3,
IF(LEFT($E$98,5)="Water",10,
IF($E$98="Direct exchange (DX)",4,
IF(LEFT($E$98,7)="Exhaust",20,
0))))</f>
        <v>0</v>
      </c>
      <c r="D6" s="80">
        <f ca="1">IF(LEFT($E$98,3)="Air",D3,
IF(LEFT($E$98,5)="Water",10,
IF($E$98="Direct exchange (DX)",4,
IF(LEFT($E$98,7)="Exhaust",20,
0))))</f>
        <v>-7</v>
      </c>
      <c r="E6" s="80">
        <f ca="1">IF(LEFT($E$98,3)="Air",E3,
IF(LEFT($E$98,5)="Water",10,
IF($E$98="Direct exchange (DX)",4,
IF(LEFT($E$98,7)="Exhaust",20,
0))))</f>
        <v>2</v>
      </c>
      <c r="F6" s="80">
        <f ca="1">IF(LEFT($E$98,3)="Air",F3,
IF(LEFT($E$98,5)="Water",10,
IF($E$98="Direct exchange (DX)",4,
IF(LEFT($E$98,7)="Exhaust",20,
0))))</f>
        <v>7</v>
      </c>
      <c r="G6" s="80">
        <f ca="1">IF(LEFT($E$98,3)="Air",G3,
IF(LEFT($E$98,5)="Water",10,
IF($E$98="Direct exchange (DX)",4,
IF(LEFT($E$98,7)="Exhaust",20,
0))))</f>
        <v>12</v>
      </c>
      <c r="I6" s="536"/>
      <c r="J6" s="527"/>
      <c r="N6" s="82"/>
      <c r="O6" s="531">
        <f t="shared" si="3"/>
        <v>-10</v>
      </c>
      <c r="P6" s="532">
        <f>'Meteorological data'!F6</f>
        <v>0</v>
      </c>
      <c r="Q6" s="532">
        <f>'Meteorological data'!G6</f>
        <v>0</v>
      </c>
      <c r="R6" s="533">
        <v>0</v>
      </c>
      <c r="S6" s="534">
        <f t="shared" ca="1" si="0"/>
        <v>0</v>
      </c>
      <c r="T6" s="534" t="e">
        <f ca="1">$T$1*P6</f>
        <v>#VALUE!</v>
      </c>
      <c r="U6" s="534">
        <f t="shared" ca="1" si="5"/>
        <v>0</v>
      </c>
      <c r="V6" s="534" t="e">
        <f t="shared" ca="1" si="1"/>
        <v>#VALUE!</v>
      </c>
      <c r="W6" s="81" t="e">
        <f t="shared" ca="1" si="2"/>
        <v>#VALUE!</v>
      </c>
      <c r="X6" s="81">
        <f ca="1">IF($M$4&lt;&gt;-7,(($X$9-$N$4)/($O$9-$M$4))*(O6-$M$4)+$N$4,0.1)</f>
        <v>0</v>
      </c>
      <c r="Y6" s="534" t="e">
        <f t="shared" ca="1" si="6"/>
        <v>#VALUE!</v>
      </c>
      <c r="Z6" s="534" t="e">
        <f t="shared" ca="1" si="7"/>
        <v>#VALUE!</v>
      </c>
      <c r="AA6" s="534" t="e">
        <f t="shared" ca="1" si="8"/>
        <v>#VALUE!</v>
      </c>
      <c r="AB6" s="534" t="e">
        <f t="shared" ca="1" si="9"/>
        <v>#VALUE!</v>
      </c>
      <c r="AC6" s="535" t="e">
        <f t="shared" ca="1" si="10"/>
        <v>#VALUE!</v>
      </c>
      <c r="AD6" s="523"/>
      <c r="AF6" s="80">
        <v>0.25</v>
      </c>
      <c r="AG6" s="80">
        <v>0.28000000000000003</v>
      </c>
      <c r="AH6" s="80">
        <v>0.43</v>
      </c>
      <c r="AI6" s="80">
        <v>0.56999999999999995</v>
      </c>
    </row>
    <row r="7" spans="1:35">
      <c r="A7" s="80" t="s">
        <v>490</v>
      </c>
      <c r="B7" s="528" t="s">
        <v>491</v>
      </c>
      <c r="C7" s="81">
        <f>('Meteorological data'!E8-'Meteorological data'!E4)/'Meteorological data'!E31</f>
        <v>0</v>
      </c>
      <c r="D7" s="81">
        <f>('Meteorological data'!E14-'Meteorological data'!E8)/'Meteorological data'!E31</f>
        <v>5.8820364757993654E-3</v>
      </c>
      <c r="E7" s="81">
        <f>('Meteorological data'!E20-'Meteorological data'!E14)/'Meteorological data'!E31</f>
        <v>0.30193856141168873</v>
      </c>
      <c r="F7" s="81">
        <f>('Meteorological data'!E25-'Meteorological data'!E20)/'Meteorological data'!E31</f>
        <v>0.46292344386062445</v>
      </c>
      <c r="G7" s="81">
        <f>('Meteorological data'!E31-'Meteorological data'!E25)/'Meteorological data'!E31</f>
        <v>0.22925595825188747</v>
      </c>
      <c r="H7" s="81">
        <f t="shared" ref="H7:H12" si="11">SUM(C7:G7)</f>
        <v>1</v>
      </c>
      <c r="J7" s="527"/>
      <c r="L7" s="527"/>
      <c r="N7" s="523"/>
      <c r="O7" s="531">
        <f t="shared" si="3"/>
        <v>-9</v>
      </c>
      <c r="P7" s="532">
        <f>'Meteorological data'!F7</f>
        <v>0</v>
      </c>
      <c r="Q7" s="532">
        <f>'Meteorological data'!G7</f>
        <v>0</v>
      </c>
      <c r="R7" s="533">
        <v>0</v>
      </c>
      <c r="S7" s="534">
        <f t="shared" ca="1" si="0"/>
        <v>0</v>
      </c>
      <c r="T7" s="534" t="e">
        <f t="shared" ca="1" si="4"/>
        <v>#VALUE!</v>
      </c>
      <c r="U7" s="534">
        <f t="shared" ca="1" si="5"/>
        <v>0</v>
      </c>
      <c r="V7" s="534" t="e">
        <f t="shared" ca="1" si="1"/>
        <v>#VALUE!</v>
      </c>
      <c r="W7" s="81" t="e">
        <f t="shared" ca="1" si="2"/>
        <v>#VALUE!</v>
      </c>
      <c r="X7" s="81">
        <f ca="1">IF($M$4&lt;&gt;-7,(($X$9-$N$4)/($O$9-$M$4))*(O7-$M$4)+$N$4,0.1)</f>
        <v>0</v>
      </c>
      <c r="Y7" s="534" t="e">
        <f t="shared" ca="1" si="6"/>
        <v>#VALUE!</v>
      </c>
      <c r="Z7" s="534" t="e">
        <f t="shared" ca="1" si="7"/>
        <v>#VALUE!</v>
      </c>
      <c r="AA7" s="534" t="e">
        <f t="shared" ca="1" si="8"/>
        <v>#VALUE!</v>
      </c>
      <c r="AB7" s="534" t="e">
        <f t="shared" ca="1" si="9"/>
        <v>#VALUE!</v>
      </c>
      <c r="AC7" s="535" t="e">
        <f t="shared" ca="1" si="10"/>
        <v>#VALUE!</v>
      </c>
      <c r="AF7" s="80">
        <v>0.3</v>
      </c>
      <c r="AG7" s="80">
        <v>0.19</v>
      </c>
      <c r="AH7" s="80">
        <v>0.34</v>
      </c>
      <c r="AI7" s="80">
        <v>0.49</v>
      </c>
    </row>
    <row r="8" spans="1:35">
      <c r="A8" s="523" t="s">
        <v>492</v>
      </c>
      <c r="B8" s="528" t="s">
        <v>493</v>
      </c>
      <c r="C8" s="81">
        <f ca="1">IF($E$94="No",$E$103*C7,(($E$103*$E$97/$E$96))*C7)</f>
        <v>0</v>
      </c>
      <c r="D8" s="81">
        <f ca="1">IF($E$94="No",$E$103*D7,(($E$103*$E$97/$E$96))*D7)</f>
        <v>0</v>
      </c>
      <c r="E8" s="81">
        <f ca="1">IF($E$94="No",$E$103*E7,(($E$103*$E$97/$E$96))*E7)</f>
        <v>0</v>
      </c>
      <c r="F8" s="81">
        <f ca="1">IF($E$94="No",$E$103*F7,(($E$103*$E$97/$E$96))*F7)</f>
        <v>0</v>
      </c>
      <c r="G8" s="81">
        <f ca="1">IF($E$94="No",$E$103*G7,(($E$103*$E$97/$E$96))*G7)</f>
        <v>0</v>
      </c>
      <c r="H8" s="81">
        <f t="shared" ca="1" si="11"/>
        <v>0</v>
      </c>
      <c r="J8" s="527"/>
      <c r="K8" s="523"/>
      <c r="M8" s="523"/>
      <c r="O8" s="531">
        <f t="shared" si="3"/>
        <v>-8</v>
      </c>
      <c r="P8" s="532">
        <f>'Meteorological data'!F8</f>
        <v>0</v>
      </c>
      <c r="Q8" s="532">
        <f>'Meteorological data'!G8</f>
        <v>0</v>
      </c>
      <c r="R8" s="533">
        <v>0</v>
      </c>
      <c r="S8" s="534">
        <f t="shared" ca="1" si="0"/>
        <v>0</v>
      </c>
      <c r="T8" s="534" t="e">
        <f t="shared" ca="1" si="4"/>
        <v>#VALUE!</v>
      </c>
      <c r="U8" s="534">
        <f t="shared" ca="1" si="5"/>
        <v>0</v>
      </c>
      <c r="V8" s="534" t="e">
        <f t="shared" ca="1" si="1"/>
        <v>#VALUE!</v>
      </c>
      <c r="W8" s="81" t="e">
        <f t="shared" ca="1" si="2"/>
        <v>#VALUE!</v>
      </c>
      <c r="X8" s="81">
        <f ca="1">IF($M$4&lt;&gt;-7,(($X$9-$N$4)/($O$9-$M$4))*(O8-$M$4)+$N$4,0.1)</f>
        <v>0</v>
      </c>
      <c r="Y8" s="534" t="e">
        <f t="shared" ca="1" si="6"/>
        <v>#VALUE!</v>
      </c>
      <c r="Z8" s="534" t="e">
        <f t="shared" ca="1" si="7"/>
        <v>#VALUE!</v>
      </c>
      <c r="AA8" s="534" t="e">
        <f t="shared" ca="1" si="8"/>
        <v>#VALUE!</v>
      </c>
      <c r="AB8" s="534" t="e">
        <f t="shared" ca="1" si="9"/>
        <v>#VALUE!</v>
      </c>
      <c r="AC8" s="535" t="e">
        <f t="shared" ca="1" si="10"/>
        <v>#VALUE!</v>
      </c>
      <c r="AF8" s="80">
        <v>0.35</v>
      </c>
      <c r="AG8" s="80">
        <v>0.12</v>
      </c>
      <c r="AH8" s="80">
        <v>0.27</v>
      </c>
      <c r="AI8" s="80">
        <v>0.42</v>
      </c>
    </row>
    <row r="9" spans="1:35">
      <c r="A9" s="523" t="s">
        <v>469</v>
      </c>
      <c r="B9" s="528" t="s">
        <v>494</v>
      </c>
      <c r="C9" s="80">
        <f>('Meteorological data'!C8-'Meteorological data'!C4)</f>
        <v>0</v>
      </c>
      <c r="D9" s="80">
        <f>('Meteorological data'!C14-'Meteorological data'!C8)</f>
        <v>18</v>
      </c>
      <c r="E9" s="80">
        <f>('Meteorological data'!C20-'Meteorological data'!C14)</f>
        <v>1247</v>
      </c>
      <c r="F9" s="80">
        <f>('Meteorological data'!C25-'Meteorological data'!C20)</f>
        <v>2933</v>
      </c>
      <c r="G9" s="80">
        <f>('Meteorological data'!C51-'Meteorological data'!C25)</f>
        <v>4562</v>
      </c>
      <c r="H9" s="81">
        <f t="shared" si="11"/>
        <v>8760</v>
      </c>
      <c r="J9" s="527"/>
      <c r="K9" s="527"/>
      <c r="M9" s="527"/>
      <c r="O9" s="537">
        <f t="shared" si="3"/>
        <v>-7</v>
      </c>
      <c r="P9" s="538">
        <f>'Meteorological data'!F9</f>
        <v>0</v>
      </c>
      <c r="Q9" s="538">
        <f>'Meteorological data'!G9</f>
        <v>0</v>
      </c>
      <c r="R9" s="539">
        <v>0</v>
      </c>
      <c r="S9" s="540">
        <f t="shared" ca="1" si="0"/>
        <v>0</v>
      </c>
      <c r="T9" s="540" t="e">
        <f t="shared" ca="1" si="4"/>
        <v>#VALUE!</v>
      </c>
      <c r="U9" s="540">
        <f t="shared" ca="1" si="5"/>
        <v>0</v>
      </c>
      <c r="V9" s="534" t="e">
        <f t="shared" ca="1" si="1"/>
        <v>#VALUE!</v>
      </c>
      <c r="W9" s="541" t="e">
        <f t="shared" ca="1" si="2"/>
        <v>#VALUE!</v>
      </c>
      <c r="X9" s="541">
        <f ca="1">D41</f>
        <v>0</v>
      </c>
      <c r="Y9" s="540" t="e">
        <f t="shared" ca="1" si="6"/>
        <v>#VALUE!</v>
      </c>
      <c r="Z9" s="540" t="e">
        <f t="shared" ca="1" si="7"/>
        <v>#VALUE!</v>
      </c>
      <c r="AA9" s="540" t="e">
        <f t="shared" ca="1" si="8"/>
        <v>#VALUE!</v>
      </c>
      <c r="AB9" s="540" t="e">
        <f t="shared" ca="1" si="9"/>
        <v>#VALUE!</v>
      </c>
      <c r="AC9" s="542" t="e">
        <f t="shared" ca="1" si="10"/>
        <v>#VALUE!</v>
      </c>
      <c r="AF9" s="80">
        <v>0.4</v>
      </c>
      <c r="AG9" s="80">
        <v>0.06</v>
      </c>
      <c r="AH9" s="80">
        <v>0.2</v>
      </c>
      <c r="AI9" s="80">
        <v>0.35</v>
      </c>
    </row>
    <row r="10" spans="1:35">
      <c r="A10" s="523" t="s">
        <v>470</v>
      </c>
      <c r="B10" s="528" t="s">
        <v>495</v>
      </c>
      <c r="C10" s="80">
        <f ca="1">C9*((24-$E$112)/24)</f>
        <v>0</v>
      </c>
      <c r="D10" s="80">
        <f ca="1">D9*((24-$E$112)/24)</f>
        <v>6</v>
      </c>
      <c r="E10" s="80">
        <f ca="1">E9*((24-$E$112)/24)</f>
        <v>415.66666666666663</v>
      </c>
      <c r="F10" s="80">
        <f ca="1">F9*((24-$E$112)/24)</f>
        <v>977.66666666666663</v>
      </c>
      <c r="G10" s="80">
        <f ca="1">G9*((24-$E$112)/24)</f>
        <v>1520.6666666666665</v>
      </c>
      <c r="H10" s="81">
        <f t="shared" ca="1" si="11"/>
        <v>2920</v>
      </c>
      <c r="J10" s="527"/>
      <c r="K10" s="523"/>
      <c r="M10" s="523"/>
      <c r="O10" s="531">
        <f t="shared" si="3"/>
        <v>-6</v>
      </c>
      <c r="P10" s="532">
        <f>'Meteorological data'!F10</f>
        <v>0</v>
      </c>
      <c r="Q10" s="532">
        <f>'Meteorological data'!G10</f>
        <v>0</v>
      </c>
      <c r="R10" s="533">
        <v>0</v>
      </c>
      <c r="S10" s="534">
        <f t="shared" ca="1" si="0"/>
        <v>0</v>
      </c>
      <c r="T10" s="534" t="e">
        <f t="shared" ca="1" si="4"/>
        <v>#VALUE!</v>
      </c>
      <c r="U10" s="534">
        <f t="shared" ca="1" si="5"/>
        <v>0</v>
      </c>
      <c r="V10" s="534" t="e">
        <f t="shared" ca="1" si="1"/>
        <v>#VALUE!</v>
      </c>
      <c r="W10" s="81" t="e">
        <f t="shared" ca="1" si="2"/>
        <v>#VALUE!</v>
      </c>
      <c r="X10" s="81">
        <f ca="1">(($X$18-$X$9)/($O$18-$O$9))*(O10-$O$9)+$X$9</f>
        <v>0</v>
      </c>
      <c r="Y10" s="534" t="e">
        <f t="shared" ca="1" si="6"/>
        <v>#VALUE!</v>
      </c>
      <c r="Z10" s="534" t="e">
        <f t="shared" ca="1" si="7"/>
        <v>#VALUE!</v>
      </c>
      <c r="AA10" s="534" t="e">
        <f t="shared" ca="1" si="8"/>
        <v>#VALUE!</v>
      </c>
      <c r="AB10" s="534" t="e">
        <f t="shared" ca="1" si="9"/>
        <v>#VALUE!</v>
      </c>
      <c r="AC10" s="535" t="e">
        <f t="shared" ca="1" si="10"/>
        <v>#VALUE!</v>
      </c>
      <c r="AF10" s="80">
        <v>0.45</v>
      </c>
      <c r="AG10" s="80">
        <v>0.03</v>
      </c>
      <c r="AH10" s="80">
        <v>0.14000000000000001</v>
      </c>
      <c r="AI10" s="80">
        <v>0.28999999999999998</v>
      </c>
    </row>
    <row r="11" spans="1:35">
      <c r="A11" s="80" t="s">
        <v>496</v>
      </c>
      <c r="B11" s="528" t="s">
        <v>497</v>
      </c>
      <c r="C11" s="81">
        <f ca="1">C10/$H$10</f>
        <v>0</v>
      </c>
      <c r="D11" s="81">
        <f ca="1">D10/$H$10</f>
        <v>2.054794520547945E-3</v>
      </c>
      <c r="E11" s="81">
        <f ca="1">E10/$H$10</f>
        <v>0.14235159817351598</v>
      </c>
      <c r="F11" s="81">
        <f ca="1">F10/$H$10</f>
        <v>0.3348173515981735</v>
      </c>
      <c r="G11" s="81">
        <f ca="1">G10/$H$10</f>
        <v>0.52077625570776254</v>
      </c>
      <c r="H11" s="81">
        <f t="shared" ca="1" si="11"/>
        <v>1</v>
      </c>
      <c r="J11" s="82"/>
      <c r="O11" s="531">
        <f t="shared" si="3"/>
        <v>-5</v>
      </c>
      <c r="P11" s="532">
        <f>'Meteorological data'!F11</f>
        <v>0</v>
      </c>
      <c r="Q11" s="532">
        <f>'Meteorological data'!G11</f>
        <v>0</v>
      </c>
      <c r="R11" s="533">
        <v>0</v>
      </c>
      <c r="S11" s="534">
        <f t="shared" ca="1" si="0"/>
        <v>0</v>
      </c>
      <c r="T11" s="534" t="e">
        <f t="shared" ca="1" si="4"/>
        <v>#VALUE!</v>
      </c>
      <c r="U11" s="534">
        <f t="shared" ca="1" si="5"/>
        <v>0</v>
      </c>
      <c r="V11" s="534" t="e">
        <f t="shared" ca="1" si="1"/>
        <v>#VALUE!</v>
      </c>
      <c r="W11" s="81" t="e">
        <f t="shared" ca="1" si="2"/>
        <v>#VALUE!</v>
      </c>
      <c r="X11" s="81">
        <f t="shared" ref="X11:X17" ca="1" si="12">(($X$18-$X$9)/($O$18-$O$9))*(O11-$O$9)+$X$9</f>
        <v>0</v>
      </c>
      <c r="Y11" s="534" t="e">
        <f t="shared" ca="1" si="6"/>
        <v>#VALUE!</v>
      </c>
      <c r="Z11" s="534" t="e">
        <f t="shared" ca="1" si="7"/>
        <v>#VALUE!</v>
      </c>
      <c r="AA11" s="534" t="e">
        <f t="shared" ca="1" si="8"/>
        <v>#VALUE!</v>
      </c>
      <c r="AB11" s="534" t="e">
        <f t="shared" ca="1" si="9"/>
        <v>#VALUE!</v>
      </c>
      <c r="AC11" s="535" t="e">
        <f t="shared" ca="1" si="10"/>
        <v>#VALUE!</v>
      </c>
      <c r="AF11" s="80">
        <v>0.5</v>
      </c>
      <c r="AG11" s="80">
        <v>0.01</v>
      </c>
      <c r="AH11" s="80">
        <v>0.09</v>
      </c>
      <c r="AI11" s="80">
        <v>0.24</v>
      </c>
    </row>
    <row r="12" spans="1:35">
      <c r="A12" s="523" t="s">
        <v>498</v>
      </c>
      <c r="B12" s="528" t="s">
        <v>499</v>
      </c>
      <c r="C12" s="81">
        <f ca="1">IF($E$94="No",$E$135*C11,(($E$135*$E$97/$E$96))*C11)</f>
        <v>0</v>
      </c>
      <c r="D12" s="81">
        <f ca="1">IF($E$94="No",$E$135*D11,(($E$135*$E$97/$E$96))*D11)</f>
        <v>0</v>
      </c>
      <c r="E12" s="81">
        <f ca="1">IF($E$94="No",$E$135*E11,(($E$135*$E$97/$E$96))*E11)</f>
        <v>0</v>
      </c>
      <c r="F12" s="81">
        <f ca="1">IF($E$94="No",$E$135*F11,(($E$135*$E$97/$E$96))*F11)</f>
        <v>0</v>
      </c>
      <c r="G12" s="81">
        <f ca="1">IF($E$94="No",$E$135*G11,(($E$135*$E$97/$E$96))*G11)</f>
        <v>0</v>
      </c>
      <c r="H12" s="81">
        <f t="shared" ca="1" si="11"/>
        <v>0</v>
      </c>
      <c r="I12" s="523"/>
      <c r="J12" s="527"/>
      <c r="K12" s="523"/>
      <c r="M12" s="523"/>
      <c r="N12" s="523"/>
      <c r="O12" s="531">
        <f t="shared" si="3"/>
        <v>-4</v>
      </c>
      <c r="P12" s="532">
        <f>'Meteorological data'!F12</f>
        <v>0</v>
      </c>
      <c r="Q12" s="532">
        <f>'Meteorological data'!G12</f>
        <v>0</v>
      </c>
      <c r="R12" s="533">
        <v>0</v>
      </c>
      <c r="S12" s="534">
        <f t="shared" ca="1" si="0"/>
        <v>0</v>
      </c>
      <c r="T12" s="534" t="e">
        <f t="shared" ca="1" si="4"/>
        <v>#VALUE!</v>
      </c>
      <c r="U12" s="534">
        <f t="shared" ca="1" si="5"/>
        <v>0</v>
      </c>
      <c r="V12" s="534" t="e">
        <f t="shared" ca="1" si="1"/>
        <v>#VALUE!</v>
      </c>
      <c r="W12" s="81" t="e">
        <f t="shared" ca="1" si="2"/>
        <v>#VALUE!</v>
      </c>
      <c r="X12" s="81">
        <f t="shared" ca="1" si="12"/>
        <v>0</v>
      </c>
      <c r="Y12" s="534" t="e">
        <f t="shared" ca="1" si="6"/>
        <v>#VALUE!</v>
      </c>
      <c r="Z12" s="534" t="e">
        <f t="shared" ca="1" si="7"/>
        <v>#VALUE!</v>
      </c>
      <c r="AA12" s="534" t="e">
        <f t="shared" ca="1" si="8"/>
        <v>#VALUE!</v>
      </c>
      <c r="AB12" s="534" t="e">
        <f t="shared" ca="1" si="9"/>
        <v>#VALUE!</v>
      </c>
      <c r="AC12" s="535" t="e">
        <f t="shared" ca="1" si="10"/>
        <v>#VALUE!</v>
      </c>
      <c r="AF12" s="80">
        <v>0.55000000000000004</v>
      </c>
      <c r="AG12" s="80">
        <v>0</v>
      </c>
      <c r="AH12" s="80">
        <v>0.06</v>
      </c>
      <c r="AI12" s="80">
        <v>0.19</v>
      </c>
    </row>
    <row r="13" spans="1:35">
      <c r="A13" s="80" t="s">
        <v>23</v>
      </c>
      <c r="B13" s="80" t="s">
        <v>23</v>
      </c>
      <c r="J13" s="527"/>
      <c r="O13" s="531">
        <f t="shared" si="3"/>
        <v>-3</v>
      </c>
      <c r="P13" s="532">
        <f>'Meteorological data'!F13</f>
        <v>1.3629108907339993E-3</v>
      </c>
      <c r="Q13" s="532">
        <f>'Meteorological data'!G13</f>
        <v>4.5662100456621003E-4</v>
      </c>
      <c r="R13" s="533">
        <v>4</v>
      </c>
      <c r="S13" s="534">
        <f t="shared" ca="1" si="0"/>
        <v>1.3333333333333333</v>
      </c>
      <c r="T13" s="534" t="e">
        <f t="shared" ca="1" si="4"/>
        <v>#VALUE!</v>
      </c>
      <c r="U13" s="534">
        <f t="shared" ca="1" si="5"/>
        <v>0</v>
      </c>
      <c r="V13" s="534" t="e">
        <f t="shared" ca="1" si="1"/>
        <v>#VALUE!</v>
      </c>
      <c r="W13" s="81" t="e">
        <f t="shared" ca="1" si="2"/>
        <v>#VALUE!</v>
      </c>
      <c r="X13" s="81">
        <f t="shared" ca="1" si="12"/>
        <v>0</v>
      </c>
      <c r="Y13" s="534" t="e">
        <f ca="1">V13/X13</f>
        <v>#VALUE!</v>
      </c>
      <c r="Z13" s="534" t="e">
        <f ca="1">IF((Y13-S13)&lt;0,0,(Y13-S13))</f>
        <v>#VALUE!</v>
      </c>
      <c r="AA13" s="534" t="e">
        <f t="shared" ca="1" si="8"/>
        <v>#VALUE!</v>
      </c>
      <c r="AB13" s="534" t="e">
        <f t="shared" ca="1" si="9"/>
        <v>#VALUE!</v>
      </c>
      <c r="AC13" s="535" t="e">
        <f t="shared" ca="1" si="10"/>
        <v>#VALUE!</v>
      </c>
      <c r="AF13" s="80">
        <v>0.6</v>
      </c>
      <c r="AG13" s="80">
        <v>0</v>
      </c>
      <c r="AH13" s="80">
        <v>0.03</v>
      </c>
      <c r="AI13" s="80">
        <v>0.15</v>
      </c>
    </row>
    <row r="14" spans="1:35">
      <c r="A14" s="524" t="s">
        <v>500</v>
      </c>
      <c r="C14" s="81">
        <f ca="1">E101</f>
        <v>0</v>
      </c>
      <c r="D14" s="80">
        <v>-7</v>
      </c>
      <c r="E14" s="80">
        <v>2</v>
      </c>
      <c r="F14" s="80">
        <v>7</v>
      </c>
      <c r="G14" s="80">
        <v>12</v>
      </c>
      <c r="J14" s="527"/>
      <c r="O14" s="531">
        <f t="shared" si="3"/>
        <v>-2</v>
      </c>
      <c r="P14" s="532">
        <f>'Meteorological data'!F14</f>
        <v>4.5191255850653657E-3</v>
      </c>
      <c r="Q14" s="532">
        <f>'Meteorological data'!G14</f>
        <v>1.5981735159817352E-3</v>
      </c>
      <c r="R14" s="533">
        <v>14</v>
      </c>
      <c r="S14" s="534">
        <f t="shared" ca="1" si="0"/>
        <v>4.6666666666666661</v>
      </c>
      <c r="T14" s="534" t="e">
        <f t="shared" ca="1" si="4"/>
        <v>#VALUE!</v>
      </c>
      <c r="U14" s="534">
        <f ca="1">$U$1*Q14</f>
        <v>0</v>
      </c>
      <c r="V14" s="534" t="e">
        <f t="shared" ca="1" si="1"/>
        <v>#VALUE!</v>
      </c>
      <c r="W14" s="81" t="e">
        <f t="shared" ca="1" si="2"/>
        <v>#VALUE!</v>
      </c>
      <c r="X14" s="81">
        <f t="shared" ca="1" si="12"/>
        <v>0</v>
      </c>
      <c r="Y14" s="534" t="e">
        <f ca="1">V14/X14</f>
        <v>#VALUE!</v>
      </c>
      <c r="Z14" s="534" t="e">
        <f ca="1">IF((Y14-S14)&lt;0,0,(Y14-S14))</f>
        <v>#VALUE!</v>
      </c>
      <c r="AA14" s="534" t="e">
        <f t="shared" ca="1" si="8"/>
        <v>#VALUE!</v>
      </c>
      <c r="AB14" s="534" t="e">
        <f t="shared" ca="1" si="9"/>
        <v>#VALUE!</v>
      </c>
      <c r="AC14" s="535" t="e">
        <f t="shared" ca="1" si="10"/>
        <v>#VALUE!</v>
      </c>
      <c r="AF14" s="80">
        <v>0.65</v>
      </c>
      <c r="AG14" s="80">
        <v>0</v>
      </c>
      <c r="AH14" s="80">
        <v>0.02</v>
      </c>
      <c r="AI14" s="80">
        <v>0.11</v>
      </c>
    </row>
    <row r="15" spans="1:35" ht="15.75">
      <c r="A15" s="543" t="str">
        <f ca="1">$E119&amp;" (oC)"</f>
        <v>Low Temperature (oC)</v>
      </c>
      <c r="B15" s="544" t="str">
        <f ca="1">"Based on test data according to "&amp;$E$100</f>
        <v>Based on test data according to I.S. EN 14825</v>
      </c>
      <c r="C15" s="545">
        <f ca="1">IF($E$128="Yes",IF($E$99="Variable Outlet",35,35),0)</f>
        <v>0</v>
      </c>
      <c r="D15" s="545">
        <f ca="1">IF($E$128="Yes",IF($E$99="Variable Outlet",34,35),0)</f>
        <v>0</v>
      </c>
      <c r="E15" s="545">
        <f ca="1">IF($E$128="Yes",IF($E$99="Variable Outlet",30,35),0)</f>
        <v>0</v>
      </c>
      <c r="F15" s="545">
        <f ca="1">IF($E$128="Yes",IF($E$99="Variable Outlet",27,35),0)</f>
        <v>0</v>
      </c>
      <c r="G15" s="546">
        <f ca="1">IF($E$128="Yes",IF($E$99="Variable Outlet",24,35),0)</f>
        <v>0</v>
      </c>
      <c r="I15" s="38"/>
      <c r="J15" s="527"/>
      <c r="K15" s="523"/>
      <c r="M15" s="523"/>
      <c r="O15" s="531">
        <f t="shared" si="3"/>
        <v>-1</v>
      </c>
      <c r="P15" s="532">
        <f>'Meteorological data'!F15</f>
        <v>1.3413912450908309E-2</v>
      </c>
      <c r="Q15" s="532">
        <f>'Meteorological data'!G15</f>
        <v>5.0228310502283104E-3</v>
      </c>
      <c r="R15" s="533">
        <v>44</v>
      </c>
      <c r="S15" s="534">
        <f t="shared" ca="1" si="0"/>
        <v>14.666666666666666</v>
      </c>
      <c r="T15" s="534" t="e">
        <f t="shared" ca="1" si="4"/>
        <v>#VALUE!</v>
      </c>
      <c r="U15" s="534">
        <f t="shared" ca="1" si="5"/>
        <v>0</v>
      </c>
      <c r="V15" s="534" t="e">
        <f t="shared" ca="1" si="1"/>
        <v>#VALUE!</v>
      </c>
      <c r="W15" s="81" t="e">
        <f t="shared" ca="1" si="2"/>
        <v>#VALUE!</v>
      </c>
      <c r="X15" s="81">
        <f t="shared" ca="1" si="12"/>
        <v>0</v>
      </c>
      <c r="Y15" s="534" t="e">
        <f t="shared" ca="1" si="6"/>
        <v>#VALUE!</v>
      </c>
      <c r="Z15" s="534" t="e">
        <f ca="1">IF((Y15-S15)&lt;0,0,(Y15-S15))</f>
        <v>#VALUE!</v>
      </c>
      <c r="AA15" s="534" t="e">
        <f t="shared" ca="1" si="8"/>
        <v>#VALUE!</v>
      </c>
      <c r="AB15" s="534" t="e">
        <f t="shared" ca="1" si="9"/>
        <v>#VALUE!</v>
      </c>
      <c r="AC15" s="535" t="e">
        <f t="shared" ca="1" si="10"/>
        <v>#VALUE!</v>
      </c>
      <c r="AF15" s="80">
        <v>0.7</v>
      </c>
      <c r="AG15" s="80">
        <v>0</v>
      </c>
      <c r="AH15" s="80">
        <v>0.01</v>
      </c>
      <c r="AI15" s="80">
        <v>0.09</v>
      </c>
    </row>
    <row r="16" spans="1:35" ht="15.75">
      <c r="A16" s="528" t="str">
        <f t="shared" ref="A16:A18" ca="1" si="13">$E120&amp;" (oC)"</f>
        <v>Medium Temperature (oC)</v>
      </c>
      <c r="B16" s="547" t="str">
        <f ca="1">$B$15</f>
        <v>Based on test data according to I.S. EN 14825</v>
      </c>
      <c r="C16" s="548">
        <f ca="1">IF($E$129="Yes",IF($E$99="Variable Outlet",45,45),0)</f>
        <v>0</v>
      </c>
      <c r="D16" s="548">
        <f ca="1">IF($E$129="Yes",IF($E$99="Variable Outlet",43,45),0)</f>
        <v>0</v>
      </c>
      <c r="E16" s="548">
        <f ca="1">IF($E$129="Yes",IF($E$99="Variable Outlet",37,45),0)</f>
        <v>0</v>
      </c>
      <c r="F16" s="548">
        <f ca="1">IF($E$129="Yes",IF($E$99="Variable Outlet",33,45),0)</f>
        <v>0</v>
      </c>
      <c r="G16" s="549">
        <f ca="1">IF($E$129="Yes",IF($E$99="Variable Outlet",28,45),0)</f>
        <v>0</v>
      </c>
      <c r="I16" s="38"/>
      <c r="J16" s="527"/>
      <c r="O16" s="531">
        <f t="shared" si="3"/>
        <v>0</v>
      </c>
      <c r="P16" s="532">
        <f>'Meteorological data'!F16</f>
        <v>3.2136004160464825E-2</v>
      </c>
      <c r="Q16" s="532">
        <f>'Meteorological data'!G16</f>
        <v>1.2785388127853882E-2</v>
      </c>
      <c r="R16" s="533">
        <v>112</v>
      </c>
      <c r="S16" s="534">
        <f t="shared" ca="1" si="0"/>
        <v>37.333333333333329</v>
      </c>
      <c r="T16" s="534" t="e">
        <f t="shared" ca="1" si="4"/>
        <v>#VALUE!</v>
      </c>
      <c r="U16" s="534">
        <f ca="1">$U$1*Q16</f>
        <v>0</v>
      </c>
      <c r="V16" s="534" t="e">
        <f t="shared" ca="1" si="1"/>
        <v>#VALUE!</v>
      </c>
      <c r="W16" s="81" t="e">
        <f t="shared" ca="1" si="2"/>
        <v>#VALUE!</v>
      </c>
      <c r="X16" s="81">
        <f t="shared" ca="1" si="12"/>
        <v>0</v>
      </c>
      <c r="Y16" s="534" t="e">
        <f ca="1">V16/X16</f>
        <v>#VALUE!</v>
      </c>
      <c r="Z16" s="534" t="e">
        <f ca="1">IF((Y16-S16)&lt;0,0,(Y16-S16))</f>
        <v>#VALUE!</v>
      </c>
      <c r="AA16" s="534" t="e">
        <f t="shared" ca="1" si="8"/>
        <v>#VALUE!</v>
      </c>
      <c r="AB16" s="534" t="e">
        <f t="shared" ca="1" si="9"/>
        <v>#VALUE!</v>
      </c>
      <c r="AC16" s="535" t="e">
        <f t="shared" ca="1" si="10"/>
        <v>#VALUE!</v>
      </c>
      <c r="AF16" s="80">
        <v>0.75</v>
      </c>
      <c r="AG16" s="80">
        <v>0</v>
      </c>
      <c r="AH16" s="80">
        <v>0</v>
      </c>
      <c r="AI16" s="80">
        <v>0.05</v>
      </c>
    </row>
    <row r="17" spans="1:35" ht="27.75" customHeight="1">
      <c r="A17" s="528" t="str">
        <f t="shared" ca="1" si="13"/>
        <v>High Temperature (oC)</v>
      </c>
      <c r="B17" s="547" t="str">
        <f ca="1">$B$15</f>
        <v>Based on test data according to I.S. EN 14825</v>
      </c>
      <c r="C17" s="548">
        <f ca="1">IF($E$127="Yes",IF($E$99="Variable Outlet",55,55),0)</f>
        <v>55</v>
      </c>
      <c r="D17" s="548">
        <f ca="1">IF($E$127="Yes",IF($E$99="Variable Outlet",52,55),0)</f>
        <v>55</v>
      </c>
      <c r="E17" s="548">
        <f ca="1">IF($E$127="Yes",IF($E$99="Variable Outlet",42,55),0)</f>
        <v>55</v>
      </c>
      <c r="F17" s="548">
        <f ca="1">IF($E$127="Yes",IF($E$99="Variable Outlet",36,55),0)</f>
        <v>55</v>
      </c>
      <c r="G17" s="549">
        <f ca="1">IF($E$127="Yes",IF($E$99="Variable Outlet",30,55),0)</f>
        <v>55</v>
      </c>
      <c r="I17" s="38" t="s">
        <v>501</v>
      </c>
      <c r="J17" s="527"/>
      <c r="O17" s="531">
        <f t="shared" si="3"/>
        <v>1</v>
      </c>
      <c r="P17" s="532">
        <f>'Meteorological data'!F17</f>
        <v>3.927335329878235E-2</v>
      </c>
      <c r="Q17" s="532">
        <f>'Meteorological data'!G17</f>
        <v>1.6666666666666666E-2</v>
      </c>
      <c r="R17" s="533">
        <v>146</v>
      </c>
      <c r="S17" s="534">
        <f t="shared" ca="1" si="0"/>
        <v>48.666666666666664</v>
      </c>
      <c r="T17" s="534" t="e">
        <f t="shared" ca="1" si="4"/>
        <v>#VALUE!</v>
      </c>
      <c r="U17" s="534">
        <f t="shared" ca="1" si="5"/>
        <v>0</v>
      </c>
      <c r="V17" s="534" t="e">
        <f t="shared" ca="1" si="1"/>
        <v>#VALUE!</v>
      </c>
      <c r="W17" s="81" t="e">
        <f t="shared" ca="1" si="2"/>
        <v>#VALUE!</v>
      </c>
      <c r="X17" s="81">
        <f t="shared" ca="1" si="12"/>
        <v>0</v>
      </c>
      <c r="Y17" s="534" t="e">
        <f t="shared" ref="Y17:Y31" ca="1" si="14">V17/X17</f>
        <v>#VALUE!</v>
      </c>
      <c r="Z17" s="534" t="e">
        <f ca="1">IF((Y17-S17)&lt;0,0,(Y17-S17))</f>
        <v>#VALUE!</v>
      </c>
      <c r="AA17" s="534" t="e">
        <f t="shared" ca="1" si="8"/>
        <v>#VALUE!</v>
      </c>
      <c r="AB17" s="534" t="e">
        <f t="shared" ca="1" si="9"/>
        <v>#VALUE!</v>
      </c>
      <c r="AC17" s="535" t="e">
        <f t="shared" ca="1" si="10"/>
        <v>#VALUE!</v>
      </c>
      <c r="AF17" s="80">
        <v>0.8</v>
      </c>
      <c r="AG17" s="80">
        <v>0</v>
      </c>
      <c r="AH17" s="80">
        <v>0</v>
      </c>
      <c r="AI17" s="80">
        <v>0.05</v>
      </c>
    </row>
    <row r="18" spans="1:35" ht="15.75">
      <c r="A18" s="550" t="str">
        <f t="shared" ca="1" si="13"/>
        <v>Very high Temperature (oC)</v>
      </c>
      <c r="B18" s="547" t="str">
        <f ca="1">$B$15</f>
        <v>Based on test data according to I.S. EN 14825</v>
      </c>
      <c r="C18" s="551">
        <f ca="1">IF($E$130="Yes",65,0)</f>
        <v>0</v>
      </c>
      <c r="D18" s="551">
        <f ca="1">IF($E$130="Yes",IF($E$99="Variable Outlet",61,65),0)</f>
        <v>0</v>
      </c>
      <c r="E18" s="551">
        <f ca="1">IF($E$130="Yes",IF($E$99="Variable Outlet",49,65),0)</f>
        <v>0</v>
      </c>
      <c r="F18" s="551">
        <f ca="1">IF($E$130="Yes",IF($E$99="Variable Outlet",41,65),0)</f>
        <v>0</v>
      </c>
      <c r="G18" s="552">
        <f ca="1">IF($E$130="Yes",IF($E$99="Variable Outlet",32,65),0)</f>
        <v>0</v>
      </c>
      <c r="I18" s="39"/>
      <c r="J18" s="527"/>
      <c r="K18" s="523"/>
      <c r="M18" s="523"/>
      <c r="O18" s="537">
        <f t="shared" si="3"/>
        <v>2</v>
      </c>
      <c r="P18" s="538">
        <f>'Meteorological data'!F18</f>
        <v>5.5735882215806179E-2</v>
      </c>
      <c r="Q18" s="538">
        <f>'Meteorological data'!G18</f>
        <v>2.5342465753424658E-2</v>
      </c>
      <c r="R18" s="539">
        <v>222</v>
      </c>
      <c r="S18" s="540">
        <f t="shared" ca="1" si="0"/>
        <v>74</v>
      </c>
      <c r="T18" s="540" t="e">
        <f t="shared" ca="1" si="4"/>
        <v>#VALUE!</v>
      </c>
      <c r="U18" s="540">
        <f t="shared" ca="1" si="5"/>
        <v>0</v>
      </c>
      <c r="V18" s="534" t="e">
        <f t="shared" ca="1" si="1"/>
        <v>#VALUE!</v>
      </c>
      <c r="W18" s="541" t="e">
        <f t="shared" ca="1" si="2"/>
        <v>#VALUE!</v>
      </c>
      <c r="X18" s="541">
        <f ca="1">E41</f>
        <v>0</v>
      </c>
      <c r="Y18" s="540" t="e">
        <f ca="1">V18/X18</f>
        <v>#VALUE!</v>
      </c>
      <c r="Z18" s="540" t="e">
        <f t="shared" ca="1" si="7"/>
        <v>#VALUE!</v>
      </c>
      <c r="AA18" s="540" t="e">
        <f t="shared" ca="1" si="8"/>
        <v>#VALUE!</v>
      </c>
      <c r="AB18" s="534" t="e">
        <f t="shared" ca="1" si="9"/>
        <v>#VALUE!</v>
      </c>
      <c r="AC18" s="535" t="e">
        <f t="shared" ca="1" si="10"/>
        <v>#VALUE!</v>
      </c>
      <c r="AF18" s="80">
        <v>0.85</v>
      </c>
      <c r="AG18" s="80">
        <v>0</v>
      </c>
      <c r="AH18" s="80">
        <v>0</v>
      </c>
      <c r="AI18" s="80">
        <v>0.03</v>
      </c>
    </row>
    <row r="19" spans="1:35" ht="15.75">
      <c r="A19" s="543" t="str">
        <f ca="1">$E119&amp;" COP  (kW/kW)"</f>
        <v>Low Temperature COP  (kW/kW)</v>
      </c>
      <c r="B19" s="544" t="str">
        <f t="shared" ref="B19:B26" ca="1" si="15">$B$15</f>
        <v>Based on test data according to I.S. EN 14825</v>
      </c>
      <c r="C19" s="553">
        <f ca="1">INDEX($C$154:$G$161,MATCH($A19,$A$154:$A$161,0),MATCH(C$27,$C$152:$G$152,0))</f>
        <v>0</v>
      </c>
      <c r="D19" s="553">
        <f t="shared" ref="D19:G26" ca="1" si="16">INDEX($C$154:$G$161,MATCH($A19,$A$154:$A$161,0),MATCH(D$27,$C$152:$G$152,0))</f>
        <v>0</v>
      </c>
      <c r="E19" s="553">
        <f t="shared" ca="1" si="16"/>
        <v>0</v>
      </c>
      <c r="F19" s="553">
        <f t="shared" ca="1" si="16"/>
        <v>0</v>
      </c>
      <c r="G19" s="554">
        <f t="shared" ca="1" si="16"/>
        <v>0</v>
      </c>
      <c r="I19" s="38" t="s">
        <v>502</v>
      </c>
      <c r="J19" s="527"/>
      <c r="K19" s="523"/>
      <c r="M19" s="523"/>
      <c r="O19" s="531">
        <f t="shared" si="3"/>
        <v>3</v>
      </c>
      <c r="P19" s="532">
        <f>'Meteorological data'!F19</f>
        <v>7.5300826713053465E-2</v>
      </c>
      <c r="Q19" s="532">
        <f>'Meteorological data'!G19</f>
        <v>3.6872146118721458E-2</v>
      </c>
      <c r="R19" s="533">
        <v>323</v>
      </c>
      <c r="S19" s="534">
        <f t="shared" ca="1" si="0"/>
        <v>107.66666666666666</v>
      </c>
      <c r="T19" s="534" t="e">
        <f t="shared" ca="1" si="4"/>
        <v>#VALUE!</v>
      </c>
      <c r="U19" s="534">
        <f t="shared" ca="1" si="5"/>
        <v>0</v>
      </c>
      <c r="V19" s="534" t="e">
        <f t="shared" ca="1" si="1"/>
        <v>#VALUE!</v>
      </c>
      <c r="W19" s="81" t="e">
        <f t="shared" ca="1" si="2"/>
        <v>#VALUE!</v>
      </c>
      <c r="X19" s="81">
        <f ca="1">(($X$23-$X$18)/($O$23-$O$18))*(O19-$O$18)+$X$18</f>
        <v>0</v>
      </c>
      <c r="Y19" s="534" t="e">
        <f ca="1">V19/X19</f>
        <v>#VALUE!</v>
      </c>
      <c r="Z19" s="534" t="e">
        <f ca="1">IF((Y19-S19)&lt;0,0,(Y19-S19))</f>
        <v>#VALUE!</v>
      </c>
      <c r="AA19" s="534" t="e">
        <f t="shared" ca="1" si="8"/>
        <v>#VALUE!</v>
      </c>
      <c r="AB19" s="534" t="e">
        <f t="shared" ca="1" si="9"/>
        <v>#VALUE!</v>
      </c>
      <c r="AC19" s="535" t="e">
        <f t="shared" ca="1" si="10"/>
        <v>#VALUE!</v>
      </c>
      <c r="AF19" s="80">
        <v>0.9</v>
      </c>
      <c r="AG19" s="80">
        <v>0</v>
      </c>
      <c r="AH19" s="80">
        <v>0</v>
      </c>
      <c r="AI19" s="80">
        <v>0.02</v>
      </c>
    </row>
    <row r="20" spans="1:35" ht="15.75">
      <c r="A20" s="528" t="str">
        <f t="shared" ref="A20:A22" ca="1" si="17">$E120&amp;" COP  (kW/kW)"</f>
        <v>Medium Temperature COP  (kW/kW)</v>
      </c>
      <c r="B20" s="547" t="str">
        <f t="shared" ca="1" si="15"/>
        <v>Based on test data according to I.S. EN 14825</v>
      </c>
      <c r="C20" s="81">
        <f t="shared" ref="C20:C26" ca="1" si="18">INDEX($C$154:$G$161,MATCH($A20,$A$154:$A$161,0),MATCH(C$27,$C$152:$G$152,0))</f>
        <v>0</v>
      </c>
      <c r="D20" s="81">
        <f t="shared" ca="1" si="16"/>
        <v>0</v>
      </c>
      <c r="E20" s="81">
        <f t="shared" ca="1" si="16"/>
        <v>0</v>
      </c>
      <c r="F20" s="81">
        <f t="shared" ca="1" si="16"/>
        <v>0</v>
      </c>
      <c r="G20" s="555">
        <f t="shared" ca="1" si="16"/>
        <v>0</v>
      </c>
      <c r="I20" s="38" t="s">
        <v>502</v>
      </c>
      <c r="J20" s="527"/>
      <c r="O20" s="531">
        <f t="shared" si="3"/>
        <v>4</v>
      </c>
      <c r="P20" s="532">
        <f>'Meteorological data'!F20</f>
        <v>8.6078582572673631E-2</v>
      </c>
      <c r="Q20" s="532">
        <f>'Meteorological data'!G20</f>
        <v>4.5662100456621002E-2</v>
      </c>
      <c r="R20" s="533">
        <v>400</v>
      </c>
      <c r="S20" s="534">
        <f t="shared" ca="1" si="0"/>
        <v>133.33333333333331</v>
      </c>
      <c r="T20" s="534" t="e">
        <f t="shared" ca="1" si="4"/>
        <v>#VALUE!</v>
      </c>
      <c r="U20" s="534">
        <f t="shared" ca="1" si="5"/>
        <v>0</v>
      </c>
      <c r="V20" s="534" t="e">
        <f t="shared" ca="1" si="1"/>
        <v>#VALUE!</v>
      </c>
      <c r="W20" s="81" t="e">
        <f t="shared" ca="1" si="2"/>
        <v>#VALUE!</v>
      </c>
      <c r="X20" s="81">
        <f t="shared" ref="X20:X22" ca="1" si="19">(($X$23-$X$18)/($O$23-$O$18))*(O20-$O$18)+$X$18</f>
        <v>0</v>
      </c>
      <c r="Y20" s="534" t="e">
        <f t="shared" ca="1" si="14"/>
        <v>#VALUE!</v>
      </c>
      <c r="Z20" s="534" t="e">
        <f t="shared" ca="1" si="7"/>
        <v>#VALUE!</v>
      </c>
      <c r="AA20" s="534" t="e">
        <f t="shared" ca="1" si="8"/>
        <v>#VALUE!</v>
      </c>
      <c r="AB20" s="534" t="e">
        <f t="shared" ca="1" si="9"/>
        <v>#VALUE!</v>
      </c>
      <c r="AC20" s="535" t="e">
        <f t="shared" ca="1" si="10"/>
        <v>#VALUE!</v>
      </c>
      <c r="AF20" s="80">
        <v>0.95</v>
      </c>
      <c r="AG20" s="80">
        <v>0</v>
      </c>
      <c r="AH20" s="80">
        <v>0</v>
      </c>
      <c r="AI20" s="80">
        <v>0.01</v>
      </c>
    </row>
    <row r="21" spans="1:35" ht="15.75">
      <c r="A21" s="528" t="str">
        <f t="shared" ca="1" si="17"/>
        <v>High Temperature COP  (kW/kW)</v>
      </c>
      <c r="B21" s="547" t="str">
        <f t="shared" ca="1" si="15"/>
        <v>Based on test data according to I.S. EN 14825</v>
      </c>
      <c r="C21" s="81">
        <f t="shared" ca="1" si="18"/>
        <v>0</v>
      </c>
      <c r="D21" s="81">
        <f t="shared" ca="1" si="16"/>
        <v>0</v>
      </c>
      <c r="E21" s="81">
        <f t="shared" ca="1" si="16"/>
        <v>0</v>
      </c>
      <c r="F21" s="81">
        <f t="shared" ca="1" si="16"/>
        <v>0</v>
      </c>
      <c r="G21" s="555">
        <f t="shared" ca="1" si="16"/>
        <v>0</v>
      </c>
      <c r="I21" s="38" t="s">
        <v>502</v>
      </c>
      <c r="J21" s="527"/>
      <c r="O21" s="531">
        <f t="shared" si="3"/>
        <v>5</v>
      </c>
      <c r="P21" s="532">
        <f>'Meteorological data'!F21</f>
        <v>8.7979484604486846E-2</v>
      </c>
      <c r="Q21" s="532">
        <f>'Meteorological data'!G21</f>
        <v>5.0913242009132421E-2</v>
      </c>
      <c r="R21" s="533">
        <v>446</v>
      </c>
      <c r="S21" s="534">
        <f t="shared" ca="1" si="0"/>
        <v>148.66666666666666</v>
      </c>
      <c r="T21" s="534" t="e">
        <f t="shared" ca="1" si="4"/>
        <v>#VALUE!</v>
      </c>
      <c r="U21" s="534">
        <f t="shared" ca="1" si="5"/>
        <v>0</v>
      </c>
      <c r="V21" s="534" t="e">
        <f t="shared" ca="1" si="1"/>
        <v>#VALUE!</v>
      </c>
      <c r="W21" s="81" t="e">
        <f t="shared" ca="1" si="2"/>
        <v>#VALUE!</v>
      </c>
      <c r="X21" s="81">
        <f t="shared" ca="1" si="19"/>
        <v>0</v>
      </c>
      <c r="Y21" s="534" t="e">
        <f t="shared" ca="1" si="14"/>
        <v>#VALUE!</v>
      </c>
      <c r="Z21" s="534" t="e">
        <f t="shared" ca="1" si="7"/>
        <v>#VALUE!</v>
      </c>
      <c r="AA21" s="534" t="e">
        <f t="shared" ca="1" si="8"/>
        <v>#VALUE!</v>
      </c>
      <c r="AB21" s="534" t="e">
        <f t="shared" ca="1" si="9"/>
        <v>#VALUE!</v>
      </c>
      <c r="AC21" s="535" t="e">
        <f t="shared" ca="1" si="10"/>
        <v>#VALUE!</v>
      </c>
      <c r="AF21" s="80">
        <v>1</v>
      </c>
      <c r="AG21" s="80">
        <v>0</v>
      </c>
      <c r="AH21" s="80">
        <v>0</v>
      </c>
      <c r="AI21" s="80">
        <v>0.01</v>
      </c>
    </row>
    <row r="22" spans="1:35" ht="15.75">
      <c r="A22" s="550" t="str">
        <f t="shared" ca="1" si="17"/>
        <v>Very high Temperature COP  (kW/kW)</v>
      </c>
      <c r="B22" s="547" t="str">
        <f t="shared" ca="1" si="15"/>
        <v>Based on test data according to I.S. EN 14825</v>
      </c>
      <c r="C22" s="556">
        <f t="shared" ca="1" si="18"/>
        <v>0</v>
      </c>
      <c r="D22" s="556">
        <f t="shared" ca="1" si="16"/>
        <v>0</v>
      </c>
      <c r="E22" s="556">
        <f t="shared" ca="1" si="16"/>
        <v>0</v>
      </c>
      <c r="F22" s="556">
        <f t="shared" ca="1" si="16"/>
        <v>0</v>
      </c>
      <c r="G22" s="557">
        <f t="shared" ca="1" si="16"/>
        <v>0</v>
      </c>
      <c r="I22" s="38" t="s">
        <v>502</v>
      </c>
      <c r="J22" s="527"/>
      <c r="O22" s="531">
        <f t="shared" si="3"/>
        <v>6</v>
      </c>
      <c r="P22" s="532">
        <f>'Meteorological data'!F22</f>
        <v>9.7735057296056527E-2</v>
      </c>
      <c r="Q22" s="532">
        <f>'Meteorological data'!G22</f>
        <v>6.2214611872146115E-2</v>
      </c>
      <c r="R22" s="533">
        <v>545</v>
      </c>
      <c r="S22" s="534">
        <f t="shared" ca="1" si="0"/>
        <v>181.66666666666666</v>
      </c>
      <c r="T22" s="534" t="e">
        <f t="shared" ca="1" si="4"/>
        <v>#VALUE!</v>
      </c>
      <c r="U22" s="534">
        <f t="shared" ca="1" si="5"/>
        <v>0</v>
      </c>
      <c r="V22" s="534" t="e">
        <f t="shared" ca="1" si="1"/>
        <v>#VALUE!</v>
      </c>
      <c r="W22" s="81" t="e">
        <f t="shared" ca="1" si="2"/>
        <v>#VALUE!</v>
      </c>
      <c r="X22" s="81">
        <f t="shared" ca="1" si="19"/>
        <v>0</v>
      </c>
      <c r="Y22" s="534" t="e">
        <f t="shared" ca="1" si="14"/>
        <v>#VALUE!</v>
      </c>
      <c r="Z22" s="534" t="e">
        <f t="shared" ca="1" si="7"/>
        <v>#VALUE!</v>
      </c>
      <c r="AA22" s="534" t="e">
        <f t="shared" ca="1" si="8"/>
        <v>#VALUE!</v>
      </c>
      <c r="AB22" s="534" t="e">
        <f t="shared" ca="1" si="9"/>
        <v>#VALUE!</v>
      </c>
      <c r="AC22" s="535" t="e">
        <f t="shared" ca="1" si="10"/>
        <v>#VALUE!</v>
      </c>
      <c r="AF22" s="80">
        <v>1.05</v>
      </c>
      <c r="AG22" s="80">
        <v>0</v>
      </c>
      <c r="AH22" s="80">
        <v>0</v>
      </c>
      <c r="AI22" s="80">
        <v>0</v>
      </c>
    </row>
    <row r="23" spans="1:35" ht="15.75">
      <c r="A23" s="543" t="str">
        <f ca="1">$E119&amp;" Heating Capacity (kW)"</f>
        <v>Low Temperature Heating Capacity (kW)</v>
      </c>
      <c r="B23" s="544" t="str">
        <f t="shared" ca="1" si="15"/>
        <v>Based on test data according to I.S. EN 14825</v>
      </c>
      <c r="C23" s="553">
        <f t="shared" ca="1" si="18"/>
        <v>0</v>
      </c>
      <c r="D23" s="553">
        <f t="shared" ca="1" si="16"/>
        <v>0</v>
      </c>
      <c r="E23" s="553">
        <f t="shared" ca="1" si="16"/>
        <v>0</v>
      </c>
      <c r="F23" s="553">
        <f t="shared" ca="1" si="16"/>
        <v>0</v>
      </c>
      <c r="G23" s="554">
        <f t="shared" ca="1" si="16"/>
        <v>0</v>
      </c>
      <c r="I23" s="38" t="s">
        <v>503</v>
      </c>
      <c r="J23" s="527"/>
      <c r="K23" s="523"/>
      <c r="M23" s="523"/>
      <c r="O23" s="537">
        <f t="shared" si="3"/>
        <v>7</v>
      </c>
      <c r="P23" s="538">
        <f>'Meteorological data'!F23</f>
        <v>9.7322597421229132E-2</v>
      </c>
      <c r="Q23" s="538">
        <f>'Meteorological data'!G23</f>
        <v>6.8835616438356159E-2</v>
      </c>
      <c r="R23" s="539">
        <v>603</v>
      </c>
      <c r="S23" s="540">
        <f t="shared" ca="1" si="0"/>
        <v>201</v>
      </c>
      <c r="T23" s="540" t="e">
        <f t="shared" ca="1" si="4"/>
        <v>#VALUE!</v>
      </c>
      <c r="U23" s="540">
        <f t="shared" ca="1" si="5"/>
        <v>0</v>
      </c>
      <c r="V23" s="534" t="e">
        <f t="shared" ca="1" si="1"/>
        <v>#VALUE!</v>
      </c>
      <c r="W23" s="541" t="e">
        <f t="shared" ca="1" si="2"/>
        <v>#VALUE!</v>
      </c>
      <c r="X23" s="541">
        <f ca="1">F41</f>
        <v>0</v>
      </c>
      <c r="Y23" s="540" t="e">
        <f t="shared" ca="1" si="14"/>
        <v>#VALUE!</v>
      </c>
      <c r="Z23" s="540" t="e">
        <f t="shared" ca="1" si="7"/>
        <v>#VALUE!</v>
      </c>
      <c r="AA23" s="540" t="e">
        <f t="shared" ca="1" si="8"/>
        <v>#VALUE!</v>
      </c>
      <c r="AB23" s="540" t="e">
        <f t="shared" ca="1" si="9"/>
        <v>#VALUE!</v>
      </c>
      <c r="AC23" s="542" t="e">
        <f t="shared" ca="1" si="10"/>
        <v>#VALUE!</v>
      </c>
    </row>
    <row r="24" spans="1:35" ht="15.75">
      <c r="A24" s="528" t="str">
        <f t="shared" ref="A24:A26" ca="1" si="20">$E120&amp;" Heating Capacity (kW)"</f>
        <v>Medium Temperature Heating Capacity (kW)</v>
      </c>
      <c r="B24" s="547" t="str">
        <f t="shared" ca="1" si="15"/>
        <v>Based on test data according to I.S. EN 14825</v>
      </c>
      <c r="C24" s="81">
        <f t="shared" ca="1" si="18"/>
        <v>0</v>
      </c>
      <c r="D24" s="81">
        <f t="shared" ca="1" si="16"/>
        <v>0</v>
      </c>
      <c r="E24" s="81">
        <f t="shared" ca="1" si="16"/>
        <v>0</v>
      </c>
      <c r="F24" s="81">
        <f t="shared" ca="1" si="16"/>
        <v>0</v>
      </c>
      <c r="G24" s="555">
        <f t="shared" ca="1" si="16"/>
        <v>0</v>
      </c>
      <c r="I24" s="38" t="s">
        <v>503</v>
      </c>
      <c r="J24" s="527"/>
      <c r="K24" s="523"/>
      <c r="M24" s="523"/>
      <c r="O24" s="531">
        <f t="shared" si="3"/>
        <v>8</v>
      </c>
      <c r="P24" s="532">
        <f>'Meteorological data'!F24</f>
        <v>9.4399512221365417E-2</v>
      </c>
      <c r="Q24" s="532">
        <f>'Meteorological data'!G24</f>
        <v>7.5114155251141554E-2</v>
      </c>
      <c r="R24" s="533">
        <v>658</v>
      </c>
      <c r="S24" s="534">
        <f t="shared" ca="1" si="0"/>
        <v>219.33333333333331</v>
      </c>
      <c r="T24" s="534" t="e">
        <f t="shared" ca="1" si="4"/>
        <v>#VALUE!</v>
      </c>
      <c r="U24" s="534">
        <f t="shared" ca="1" si="5"/>
        <v>0</v>
      </c>
      <c r="V24" s="534" t="e">
        <f t="shared" ca="1" si="1"/>
        <v>#VALUE!</v>
      </c>
      <c r="W24" s="81" t="e">
        <f t="shared" ca="1" si="2"/>
        <v>#VALUE!</v>
      </c>
      <c r="X24" s="81">
        <f ca="1">(($X$28-$X$23)/($O$28-$O$23))*(O24-$O$23)+$X$23</f>
        <v>0</v>
      </c>
      <c r="Y24" s="534" t="e">
        <f t="shared" ca="1" si="14"/>
        <v>#VALUE!</v>
      </c>
      <c r="Z24" s="534" t="e">
        <f t="shared" ca="1" si="7"/>
        <v>#VALUE!</v>
      </c>
      <c r="AA24" s="534" t="e">
        <f t="shared" ca="1" si="8"/>
        <v>#VALUE!</v>
      </c>
      <c r="AB24" s="534" t="e">
        <f t="shared" ca="1" si="9"/>
        <v>#VALUE!</v>
      </c>
      <c r="AC24" s="535" t="e">
        <f t="shared" ca="1" si="10"/>
        <v>#VALUE!</v>
      </c>
      <c r="AG24" s="532" t="e">
        <f ca="1">IF($J$47&lt;0.5,3.9048*$J$47^2-4.018*$J$47+1.045,0)</f>
        <v>#VALUE!</v>
      </c>
      <c r="AH24" s="532" t="e">
        <f ca="1">IF($J$47&lt;0.7,2.0699*$J$47^2-2.8993*$J$47+1.0265,0)</f>
        <v>#VALUE!</v>
      </c>
      <c r="AI24" s="532" t="e">
        <f ca="1">IF($J$47&lt;1,1.1182*$J$47^2-2.1276*$J$47+1.0252,0)</f>
        <v>#VALUE!</v>
      </c>
    </row>
    <row r="25" spans="1:35" ht="15.75">
      <c r="A25" s="528" t="str">
        <f t="shared" ca="1" si="20"/>
        <v>High Temperature Heating Capacity (kW)</v>
      </c>
      <c r="B25" s="547" t="str">
        <f t="shared" ca="1" si="15"/>
        <v>Based on test data according to I.S. EN 14825</v>
      </c>
      <c r="C25" s="81">
        <f t="shared" ca="1" si="18"/>
        <v>0</v>
      </c>
      <c r="D25" s="81">
        <f t="shared" ca="1" si="16"/>
        <v>0</v>
      </c>
      <c r="E25" s="81">
        <f t="shared" ca="1" si="16"/>
        <v>0</v>
      </c>
      <c r="F25" s="81">
        <f t="shared" ca="1" si="16"/>
        <v>0</v>
      </c>
      <c r="G25" s="555">
        <f t="shared" ca="1" si="16"/>
        <v>0</v>
      </c>
      <c r="I25" s="38" t="s">
        <v>503</v>
      </c>
      <c r="J25" s="527"/>
      <c r="K25" s="523"/>
      <c r="M25" s="523"/>
      <c r="O25" s="531">
        <f t="shared" si="3"/>
        <v>9</v>
      </c>
      <c r="P25" s="532">
        <f>'Meteorological data'!F25</f>
        <v>8.5486792317486501E-2</v>
      </c>
      <c r="Q25" s="532">
        <f>'Meteorological data'!G25</f>
        <v>7.773972602739726E-2</v>
      </c>
      <c r="R25" s="533">
        <v>681</v>
      </c>
      <c r="S25" s="534">
        <f t="shared" ca="1" si="0"/>
        <v>227</v>
      </c>
      <c r="T25" s="534" t="e">
        <f t="shared" ca="1" si="4"/>
        <v>#VALUE!</v>
      </c>
      <c r="U25" s="534">
        <f t="shared" ca="1" si="5"/>
        <v>0</v>
      </c>
      <c r="V25" s="534" t="e">
        <f t="shared" ca="1" si="1"/>
        <v>#VALUE!</v>
      </c>
      <c r="W25" s="81" t="e">
        <f t="shared" ca="1" si="2"/>
        <v>#VALUE!</v>
      </c>
      <c r="X25" s="81">
        <f t="shared" ref="X25:X30" ca="1" si="21">(($X$28-$X$23)/($O$28-$O$23))*(O25-$O$23)+$X$23</f>
        <v>0</v>
      </c>
      <c r="Y25" s="534" t="e">
        <f t="shared" ca="1" si="14"/>
        <v>#VALUE!</v>
      </c>
      <c r="Z25" s="534" t="e">
        <f t="shared" ca="1" si="7"/>
        <v>#VALUE!</v>
      </c>
      <c r="AA25" s="534" t="e">
        <f t="shared" ca="1" si="8"/>
        <v>#VALUE!</v>
      </c>
      <c r="AB25" s="534" t="e">
        <f t="shared" ca="1" si="9"/>
        <v>#VALUE!</v>
      </c>
      <c r="AC25" s="535" t="e">
        <f t="shared" ca="1" si="10"/>
        <v>#VALUE!</v>
      </c>
    </row>
    <row r="26" spans="1:35" ht="15.75">
      <c r="A26" s="550" t="str">
        <f t="shared" ca="1" si="20"/>
        <v>Very high Temperature Heating Capacity (kW)</v>
      </c>
      <c r="B26" s="547" t="str">
        <f t="shared" ca="1" si="15"/>
        <v>Based on test data according to I.S. EN 14825</v>
      </c>
      <c r="C26" s="556">
        <f t="shared" ca="1" si="18"/>
        <v>0</v>
      </c>
      <c r="D26" s="556">
        <f t="shared" ca="1" si="16"/>
        <v>0</v>
      </c>
      <c r="E26" s="556">
        <f t="shared" ca="1" si="16"/>
        <v>0</v>
      </c>
      <c r="F26" s="556">
        <f t="shared" ca="1" si="16"/>
        <v>0</v>
      </c>
      <c r="G26" s="557">
        <f t="shared" ca="1" si="16"/>
        <v>0</v>
      </c>
      <c r="I26" s="38" t="s">
        <v>503</v>
      </c>
      <c r="J26" s="82"/>
      <c r="O26" s="531">
        <f t="shared" si="3"/>
        <v>10</v>
      </c>
      <c r="P26" s="532">
        <f>'Meteorological data'!F26</f>
        <v>6.875526782992307E-2</v>
      </c>
      <c r="Q26" s="532">
        <f>'Meteorological data'!G26</f>
        <v>7.294520547945206E-2</v>
      </c>
      <c r="R26" s="533">
        <v>639</v>
      </c>
      <c r="S26" s="534">
        <f t="shared" ca="1" si="0"/>
        <v>213</v>
      </c>
      <c r="T26" s="534" t="e">
        <f t="shared" ca="1" si="4"/>
        <v>#VALUE!</v>
      </c>
      <c r="U26" s="534">
        <f t="shared" ca="1" si="5"/>
        <v>0</v>
      </c>
      <c r="V26" s="534" t="e">
        <f t="shared" ca="1" si="1"/>
        <v>#VALUE!</v>
      </c>
      <c r="W26" s="81" t="e">
        <f t="shared" ca="1" si="2"/>
        <v>#VALUE!</v>
      </c>
      <c r="X26" s="81">
        <f t="shared" ca="1" si="21"/>
        <v>0</v>
      </c>
      <c r="Y26" s="534" t="e">
        <f t="shared" ca="1" si="14"/>
        <v>#VALUE!</v>
      </c>
      <c r="Z26" s="534" t="e">
        <f t="shared" ca="1" si="7"/>
        <v>#VALUE!</v>
      </c>
      <c r="AA26" s="534" t="e">
        <f t="shared" ca="1" si="8"/>
        <v>#VALUE!</v>
      </c>
      <c r="AB26" s="534" t="e">
        <f t="shared" ca="1" si="9"/>
        <v>#VALUE!</v>
      </c>
      <c r="AC26" s="535" t="e">
        <f t="shared" ca="1" si="10"/>
        <v>#VALUE!</v>
      </c>
    </row>
    <row r="27" spans="1:35" ht="13.5" thickBot="1">
      <c r="B27" s="291" t="s">
        <v>504</v>
      </c>
      <c r="C27" s="292" t="s">
        <v>505</v>
      </c>
      <c r="D27" s="292" t="s">
        <v>506</v>
      </c>
      <c r="E27" s="558" t="s">
        <v>507</v>
      </c>
      <c r="F27" s="292" t="s">
        <v>508</v>
      </c>
      <c r="G27" s="292" t="s">
        <v>509</v>
      </c>
      <c r="J27" s="82"/>
      <c r="O27" s="531">
        <f t="shared" si="3"/>
        <v>11</v>
      </c>
      <c r="P27" s="532">
        <f>'Meteorological data'!F27</f>
        <v>5.9179025518713124E-2</v>
      </c>
      <c r="Q27" s="532">
        <f>'Meteorological data'!G27</f>
        <v>7.5342465753424653E-2</v>
      </c>
      <c r="R27" s="533">
        <v>660</v>
      </c>
      <c r="S27" s="534">
        <f t="shared" ca="1" si="0"/>
        <v>220</v>
      </c>
      <c r="T27" s="534" t="e">
        <f t="shared" ca="1" si="4"/>
        <v>#VALUE!</v>
      </c>
      <c r="U27" s="534">
        <f t="shared" ca="1" si="5"/>
        <v>0</v>
      </c>
      <c r="V27" s="534" t="e">
        <f t="shared" ca="1" si="1"/>
        <v>#VALUE!</v>
      </c>
      <c r="W27" s="81" t="e">
        <f t="shared" ca="1" si="2"/>
        <v>#VALUE!</v>
      </c>
      <c r="X27" s="81">
        <f t="shared" ca="1" si="21"/>
        <v>0</v>
      </c>
      <c r="Y27" s="534" t="e">
        <f t="shared" ca="1" si="14"/>
        <v>#VALUE!</v>
      </c>
      <c r="Z27" s="534" t="e">
        <f t="shared" ca="1" si="7"/>
        <v>#VALUE!</v>
      </c>
      <c r="AA27" s="534" t="e">
        <f t="shared" ca="1" si="8"/>
        <v>#VALUE!</v>
      </c>
      <c r="AB27" s="534" t="e">
        <f t="shared" ca="1" si="9"/>
        <v>#VALUE!</v>
      </c>
      <c r="AC27" s="535" t="e">
        <f t="shared" ca="1" si="10"/>
        <v>#VALUE!</v>
      </c>
    </row>
    <row r="28" spans="1:35">
      <c r="A28" s="80" t="s">
        <v>510</v>
      </c>
      <c r="B28" s="559" t="s">
        <v>511</v>
      </c>
      <c r="C28" s="560" t="str">
        <f ca="1">IF(C30="Yes",$E$125,
IF($E$132="Low temperature heat pump",$E$123,
IF($E$107&lt;=45,IF($E$128="Yes",$E$123,IF($E$129="Yes",$E$124,$E$125)),
IF($E$107&lt;=55,IF($E$129="Yes",$E$124,IF($E$128="Yes",$E$123,$E$125)),
$E$125))))</f>
        <v>High</v>
      </c>
      <c r="D28" s="170"/>
      <c r="E28" s="561"/>
      <c r="I28" s="80" t="s">
        <v>23</v>
      </c>
      <c r="J28" s="82"/>
      <c r="O28" s="537">
        <f t="shared" si="3"/>
        <v>12</v>
      </c>
      <c r="P28" s="538">
        <f>'Meteorological data'!F28</f>
        <v>4.3756612807775763E-2</v>
      </c>
      <c r="Q28" s="538">
        <f>'Meteorological data'!G28</f>
        <v>6.9634703196347028E-2</v>
      </c>
      <c r="R28" s="539">
        <v>610</v>
      </c>
      <c r="S28" s="540">
        <f t="shared" ca="1" si="0"/>
        <v>203.33333333333331</v>
      </c>
      <c r="T28" s="540" t="e">
        <f t="shared" ca="1" si="4"/>
        <v>#VALUE!</v>
      </c>
      <c r="U28" s="540">
        <f t="shared" ca="1" si="5"/>
        <v>0</v>
      </c>
      <c r="V28" s="534" t="e">
        <f t="shared" ca="1" si="1"/>
        <v>#VALUE!</v>
      </c>
      <c r="W28" s="541" t="e">
        <f t="shared" ca="1" si="2"/>
        <v>#VALUE!</v>
      </c>
      <c r="X28" s="541">
        <f ca="1">G41</f>
        <v>0</v>
      </c>
      <c r="Y28" s="540" t="e">
        <f t="shared" ca="1" si="14"/>
        <v>#VALUE!</v>
      </c>
      <c r="Z28" s="540" t="e">
        <f t="shared" ca="1" si="7"/>
        <v>#VALUE!</v>
      </c>
      <c r="AA28" s="540" t="e">
        <f t="shared" ca="1" si="8"/>
        <v>#VALUE!</v>
      </c>
      <c r="AB28" s="540" t="e">
        <f t="shared" ca="1" si="9"/>
        <v>#VALUE!</v>
      </c>
      <c r="AC28" s="542" t="e">
        <f t="shared" ca="1" si="10"/>
        <v>#VALUE!</v>
      </c>
    </row>
    <row r="29" spans="1:35">
      <c r="B29" s="562" t="s">
        <v>512</v>
      </c>
      <c r="C29" s="563" t="str">
        <f ca="1">IF(C30="Yes","Error",
IF($E$132="Low temperature heat pump",IF($E$129="Yes",$E$124,"Error"),
IF($E$107&lt;=45,IF(C28=$E$123,IF($E$129="Yes",$E$124,$E$125),IF(C28=$E$124,$E$125,"Error")),
IF($E$107&lt;=55,IF(C28=$E$123,$E$125,IF(C28=$E$124,$E$125,"Error")),
IF($E$130="Yes",$E$126,"Error")))))</f>
        <v>Error</v>
      </c>
      <c r="D29" s="170"/>
      <c r="E29" s="561"/>
      <c r="J29" s="82"/>
      <c r="N29" s="82"/>
      <c r="O29" s="531">
        <f t="shared" si="3"/>
        <v>13</v>
      </c>
      <c r="P29" s="532">
        <f>'Meteorological data'!F29</f>
        <v>3.1311084410810035E-2</v>
      </c>
      <c r="Q29" s="532">
        <f>'Meteorological data'!G29</f>
        <v>6.6438356164383566E-2</v>
      </c>
      <c r="R29" s="533">
        <v>582</v>
      </c>
      <c r="S29" s="534">
        <f t="shared" ca="1" si="0"/>
        <v>194</v>
      </c>
      <c r="T29" s="534" t="e">
        <f t="shared" ca="1" si="4"/>
        <v>#VALUE!</v>
      </c>
      <c r="U29" s="534">
        <f t="shared" ca="1" si="5"/>
        <v>0</v>
      </c>
      <c r="V29" s="534" t="e">
        <f t="shared" ca="1" si="1"/>
        <v>#VALUE!</v>
      </c>
      <c r="W29" s="81" t="e">
        <f t="shared" ca="1" si="2"/>
        <v>#VALUE!</v>
      </c>
      <c r="X29" s="81">
        <f t="shared" ca="1" si="21"/>
        <v>0</v>
      </c>
      <c r="Y29" s="534" t="e">
        <f t="shared" ca="1" si="14"/>
        <v>#VALUE!</v>
      </c>
      <c r="Z29" s="534" t="e">
        <f t="shared" ca="1" si="7"/>
        <v>#VALUE!</v>
      </c>
      <c r="AA29" s="534" t="e">
        <f t="shared" ca="1" si="8"/>
        <v>#VALUE!</v>
      </c>
      <c r="AB29" s="534" t="e">
        <f t="shared" ca="1" si="9"/>
        <v>#VALUE!</v>
      </c>
      <c r="AC29" s="535" t="e">
        <f t="shared" ca="1" si="10"/>
        <v>#VALUE!</v>
      </c>
    </row>
    <row r="30" spans="1:35" ht="13.5" thickBot="1">
      <c r="B30" s="564" t="s">
        <v>513</v>
      </c>
      <c r="C30" s="565" t="str">
        <f ca="1">$E$106</f>
        <v>No</v>
      </c>
      <c r="D30" s="170"/>
      <c r="E30" s="561"/>
      <c r="J30" s="82"/>
      <c r="N30" s="82"/>
      <c r="O30" s="531">
        <f t="shared" si="3"/>
        <v>14</v>
      </c>
      <c r="P30" s="532">
        <f>'Meteorological data'!F30</f>
        <v>1.7251582590606676E-2</v>
      </c>
      <c r="Q30" s="532">
        <f>'Meteorological data'!G30</f>
        <v>5.4908675799086759E-2</v>
      </c>
      <c r="R30" s="533">
        <v>481</v>
      </c>
      <c r="S30" s="534">
        <f t="shared" ca="1" si="0"/>
        <v>160.33333333333331</v>
      </c>
      <c r="T30" s="534" t="e">
        <f t="shared" ca="1" si="4"/>
        <v>#VALUE!</v>
      </c>
      <c r="U30" s="534">
        <f t="shared" ca="1" si="5"/>
        <v>0</v>
      </c>
      <c r="V30" s="534" t="e">
        <f t="shared" ca="1" si="1"/>
        <v>#VALUE!</v>
      </c>
      <c r="W30" s="81" t="e">
        <f t="shared" ca="1" si="2"/>
        <v>#VALUE!</v>
      </c>
      <c r="X30" s="81">
        <f t="shared" ca="1" si="21"/>
        <v>0</v>
      </c>
      <c r="Y30" s="534" t="e">
        <f t="shared" ca="1" si="14"/>
        <v>#VALUE!</v>
      </c>
      <c r="Z30" s="534" t="e">
        <f t="shared" ca="1" si="7"/>
        <v>#VALUE!</v>
      </c>
      <c r="AA30" s="534" t="e">
        <f t="shared" ca="1" si="8"/>
        <v>#VALUE!</v>
      </c>
      <c r="AB30" s="534" t="e">
        <f t="shared" ca="1" si="9"/>
        <v>#VALUE!</v>
      </c>
      <c r="AC30" s="535" t="e">
        <f t="shared" ca="1" si="10"/>
        <v>#VALUE!</v>
      </c>
    </row>
    <row r="31" spans="1:35" ht="14.25">
      <c r="A31" s="523" t="s">
        <v>514</v>
      </c>
      <c r="B31" s="80" t="str">
        <f ca="1">C28</f>
        <v>High</v>
      </c>
      <c r="C31" s="80">
        <f ca="1">IF($C$28=$E$123,C15,IF($C$28=$E$124,C16,C17))</f>
        <v>55</v>
      </c>
      <c r="D31" s="80">
        <f t="shared" ref="D31:G31" ca="1" si="22">IF($C$28=$E$123,D15,IF($C$28=$E$124,D16,D17))</f>
        <v>55</v>
      </c>
      <c r="E31" s="80">
        <f t="shared" ca="1" si="22"/>
        <v>55</v>
      </c>
      <c r="F31" s="80">
        <f t="shared" ca="1" si="22"/>
        <v>55</v>
      </c>
      <c r="G31" s="80">
        <f t="shared" ca="1" si="22"/>
        <v>55</v>
      </c>
      <c r="I31" s="82"/>
      <c r="J31" s="82"/>
      <c r="O31" s="531">
        <f t="shared" si="3"/>
        <v>15</v>
      </c>
      <c r="P31" s="532">
        <f>'Meteorological data'!F31</f>
        <v>9.002385094058785E-3</v>
      </c>
      <c r="Q31" s="532">
        <f>'Meteorological data'!G31</f>
        <v>5.7305936073059359E-2</v>
      </c>
      <c r="R31" s="533">
        <v>502</v>
      </c>
      <c r="S31" s="534">
        <f t="shared" ca="1" si="0"/>
        <v>167.33333333333331</v>
      </c>
      <c r="T31" s="534" t="e">
        <f t="shared" ca="1" si="4"/>
        <v>#VALUE!</v>
      </c>
      <c r="U31" s="534">
        <f t="shared" ca="1" si="5"/>
        <v>0</v>
      </c>
      <c r="V31" s="534" t="e">
        <f t="shared" ca="1" si="1"/>
        <v>#VALUE!</v>
      </c>
      <c r="W31" s="81" t="e">
        <f t="shared" ca="1" si="2"/>
        <v>#VALUE!</v>
      </c>
      <c r="X31" s="81">
        <f ca="1">(($X$28-$X$23)/($O$28-$O$23))*(O31-$O$23)+$X$23</f>
        <v>0</v>
      </c>
      <c r="Y31" s="534" t="e">
        <f t="shared" ca="1" si="14"/>
        <v>#VALUE!</v>
      </c>
      <c r="Z31" s="534" t="e">
        <f t="shared" ca="1" si="7"/>
        <v>#VALUE!</v>
      </c>
      <c r="AA31" s="534" t="e">
        <f t="shared" ca="1" si="8"/>
        <v>#VALUE!</v>
      </c>
      <c r="AB31" s="534" t="e">
        <f t="shared" ca="1" si="9"/>
        <v>#VALUE!</v>
      </c>
      <c r="AC31" s="535" t="e">
        <f t="shared" ca="1" si="10"/>
        <v>#VALUE!</v>
      </c>
    </row>
    <row r="32" spans="1:35" ht="14.25">
      <c r="A32" s="523" t="s">
        <v>515</v>
      </c>
      <c r="B32" s="80" t="str">
        <f ca="1">C29</f>
        <v>Error</v>
      </c>
      <c r="C32" s="80">
        <f ca="1">IF($C$29=$E$126,C18,IF($C$29=$E$125,C17,IF($C$29="Error",0,C16)))</f>
        <v>0</v>
      </c>
      <c r="D32" s="80">
        <f t="shared" ref="D32:G32" ca="1" si="23">IF($C$29=$E$126,D18,IF($C$29=$E$125,D17,IF($C$29="Error",0,D16)))</f>
        <v>0</v>
      </c>
      <c r="E32" s="80">
        <f t="shared" ca="1" si="23"/>
        <v>0</v>
      </c>
      <c r="F32" s="80">
        <f t="shared" ca="1" si="23"/>
        <v>0</v>
      </c>
      <c r="G32" s="80">
        <f t="shared" ca="1" si="23"/>
        <v>0</v>
      </c>
      <c r="J32" s="82"/>
      <c r="O32" s="531">
        <f t="shared" si="3"/>
        <v>16</v>
      </c>
      <c r="Q32" s="532">
        <f>'Meteorological data'!G32</f>
        <v>4.3721461187214615E-2</v>
      </c>
      <c r="R32" s="533">
        <v>383</v>
      </c>
      <c r="S32" s="534">
        <f t="shared" ca="1" si="0"/>
        <v>127.66666666666666</v>
      </c>
      <c r="U32" s="534">
        <f t="shared" ca="1" si="5"/>
        <v>0</v>
      </c>
      <c r="V32" s="534">
        <f t="shared" ca="1" si="1"/>
        <v>0</v>
      </c>
      <c r="W32" s="81" t="s">
        <v>23</v>
      </c>
    </row>
    <row r="33" spans="1:24" ht="13.5" thickBot="1">
      <c r="A33" s="523" t="s">
        <v>516</v>
      </c>
      <c r="B33" s="80" t="str">
        <f ca="1">C28</f>
        <v>High</v>
      </c>
      <c r="C33" s="81">
        <f ca="1">IF($C$28=$E$123,C19,IF($C$28=$E$124,C20,C21))</f>
        <v>0</v>
      </c>
      <c r="D33" s="81">
        <f t="shared" ref="D33:G33" ca="1" si="24">IF($C$28=$E$123,D19,IF($C$28=$E$124,D20,D21))</f>
        <v>0</v>
      </c>
      <c r="E33" s="81">
        <f t="shared" ca="1" si="24"/>
        <v>0</v>
      </c>
      <c r="F33" s="81">
        <f t="shared" ca="1" si="24"/>
        <v>0</v>
      </c>
      <c r="G33" s="81">
        <f t="shared" ca="1" si="24"/>
        <v>0</v>
      </c>
      <c r="J33" s="82"/>
      <c r="O33" s="531">
        <f t="shared" si="3"/>
        <v>17</v>
      </c>
      <c r="Q33" s="532">
        <f>'Meteorological data'!G33</f>
        <v>2.9566210045662102E-2</v>
      </c>
      <c r="R33" s="533">
        <v>259</v>
      </c>
      <c r="S33" s="534">
        <f t="shared" ca="1" si="0"/>
        <v>86.333333333333329</v>
      </c>
      <c r="U33" s="534">
        <f t="shared" ca="1" si="5"/>
        <v>0</v>
      </c>
      <c r="V33" s="534">
        <f t="shared" ca="1" si="1"/>
        <v>0</v>
      </c>
      <c r="W33" s="81" t="s">
        <v>23</v>
      </c>
    </row>
    <row r="34" spans="1:24">
      <c r="A34" s="523" t="s">
        <v>517</v>
      </c>
      <c r="B34" s="80" t="str">
        <f ca="1">C29</f>
        <v>Error</v>
      </c>
      <c r="C34" s="81">
        <f ca="1">IF($C$29=$E$126,C22,IF($C$29=$E$125,C21,IF($C$29="Error",0,C20)))</f>
        <v>0</v>
      </c>
      <c r="D34" s="81">
        <f t="shared" ref="D34:G34" ca="1" si="25">IF($C$29=$E$126,D22,IF($C$29=$E$125,D21,IF($C$29="Error",0,D20)))</f>
        <v>0</v>
      </c>
      <c r="E34" s="81">
        <f t="shared" ca="1" si="25"/>
        <v>0</v>
      </c>
      <c r="F34" s="81">
        <f t="shared" ca="1" si="25"/>
        <v>0</v>
      </c>
      <c r="G34" s="81">
        <f t="shared" ca="1" si="25"/>
        <v>0</v>
      </c>
      <c r="I34" s="566" t="s">
        <v>518</v>
      </c>
      <c r="J34" s="82"/>
      <c r="O34" s="531">
        <f t="shared" si="3"/>
        <v>18</v>
      </c>
      <c r="Q34" s="532">
        <f>'Meteorological data'!G34</f>
        <v>1.9406392694063926E-2</v>
      </c>
      <c r="R34" s="533">
        <v>170</v>
      </c>
      <c r="S34" s="534">
        <f t="shared" ca="1" si="0"/>
        <v>56.666666666666664</v>
      </c>
      <c r="U34" s="534">
        <f t="shared" ca="1" si="5"/>
        <v>0</v>
      </c>
      <c r="V34" s="534">
        <f t="shared" ca="1" si="1"/>
        <v>0</v>
      </c>
      <c r="W34" s="81" t="s">
        <v>23</v>
      </c>
    </row>
    <row r="35" spans="1:24" ht="13.5" thickBot="1">
      <c r="A35" s="523" t="s">
        <v>519</v>
      </c>
      <c r="B35" s="80" t="str">
        <f ca="1">C28</f>
        <v>High</v>
      </c>
      <c r="C35" s="81">
        <f ca="1">IF($C$28=$E$123,C23,IF($C$28=$E$124,C24,C25))</f>
        <v>0</v>
      </c>
      <c r="D35" s="81">
        <f t="shared" ref="D35:G35" ca="1" si="26">IF($C$28=$E$123,D23,IF($C$28=$E$124,D24,D25))</f>
        <v>0</v>
      </c>
      <c r="E35" s="81">
        <f t="shared" ca="1" si="26"/>
        <v>0</v>
      </c>
      <c r="F35" s="81">
        <f t="shared" ca="1" si="26"/>
        <v>0</v>
      </c>
      <c r="G35" s="81">
        <f t="shared" ca="1" si="26"/>
        <v>0</v>
      </c>
      <c r="I35" s="567">
        <f ca="1">IF(E132="Low temperature heat pump",35,55)</f>
        <v>55</v>
      </c>
      <c r="J35" s="82"/>
      <c r="O35" s="531">
        <f t="shared" si="3"/>
        <v>19</v>
      </c>
      <c r="Q35" s="532">
        <f>'Meteorological data'!G35</f>
        <v>1.2785388127853882E-2</v>
      </c>
      <c r="R35" s="533">
        <v>112</v>
      </c>
      <c r="S35" s="534">
        <f t="shared" ca="1" si="0"/>
        <v>37.333333333333329</v>
      </c>
      <c r="U35" s="534">
        <f t="shared" ca="1" si="5"/>
        <v>0</v>
      </c>
      <c r="V35" s="534">
        <f t="shared" ca="1" si="1"/>
        <v>0</v>
      </c>
      <c r="W35" s="81" t="s">
        <v>23</v>
      </c>
    </row>
    <row r="36" spans="1:24">
      <c r="A36" s="523" t="s">
        <v>520</v>
      </c>
      <c r="B36" s="80" t="str">
        <f ca="1">C29</f>
        <v>Error</v>
      </c>
      <c r="C36" s="81">
        <f ca="1">IF($C$29=$E$126,C26,IF($C$29=$E$125,C25,IF($C$29="Error",0,C24)))</f>
        <v>0</v>
      </c>
      <c r="D36" s="81">
        <f t="shared" ref="D36:G36" ca="1" si="27">IF($C$29=$E$126,D26,IF($C$29=$E$125,D25,IF($C$29="Error",0,D24)))</f>
        <v>0</v>
      </c>
      <c r="E36" s="81">
        <f t="shared" ca="1" si="27"/>
        <v>0</v>
      </c>
      <c r="F36" s="81">
        <f t="shared" ca="1" si="27"/>
        <v>0</v>
      </c>
      <c r="G36" s="81">
        <f t="shared" ca="1" si="27"/>
        <v>0</v>
      </c>
      <c r="J36" s="82"/>
      <c r="O36" s="531">
        <f t="shared" si="3"/>
        <v>20</v>
      </c>
      <c r="Q36" s="532">
        <f>'Meteorological data'!G36</f>
        <v>7.6484018264840184E-3</v>
      </c>
      <c r="R36" s="533">
        <v>67</v>
      </c>
      <c r="S36" s="534">
        <f t="shared" ca="1" si="0"/>
        <v>22.333333333333332</v>
      </c>
      <c r="U36" s="534">
        <f t="shared" ca="1" si="5"/>
        <v>0</v>
      </c>
      <c r="V36" s="534">
        <f t="shared" ca="1" si="1"/>
        <v>0</v>
      </c>
      <c r="W36" s="81" t="s">
        <v>23</v>
      </c>
      <c r="X36" s="523" t="s">
        <v>521</v>
      </c>
    </row>
    <row r="37" spans="1:24" ht="42" customHeight="1">
      <c r="A37" s="82" t="s">
        <v>522</v>
      </c>
      <c r="B37" s="529" t="s">
        <v>523</v>
      </c>
      <c r="C37" s="568" t="e">
        <f ca="1">$E$105+(($E$109/2)*(($E$105-C3)/($E$105-$E$104)))+((AVERAGE($I$35,($I$35-$E$109))-$E$105)*(($E$105-C3)/($E$105-$E$104))^(1/$E$108))</f>
        <v>#VALUE!</v>
      </c>
      <c r="D37" s="568" t="e">
        <f ca="1">$E$105+(($E$109/2)*(($E$105-D3)/($E$105-$E$104)))+((AVERAGE($I$35,($I$35-$E$109))-$E$105)*(($E$105-D3)/($E$105-$E$104))^(1/$E$108))</f>
        <v>#VALUE!</v>
      </c>
      <c r="E37" s="568" t="e">
        <f ca="1">$E$105+(($E$109/2)*(($E$105-E3)/($E$105-$E$104)))+((AVERAGE($I$35,($I$35-$E$109))-$E$105)*(($E$105-E3)/($E$105-$E$104))^(1/$E$108))</f>
        <v>#VALUE!</v>
      </c>
      <c r="F37" s="568" t="e">
        <f ca="1">$E$105+(($E$109/2)*(($E$105-F3)/($E$105-$E$104)))+((AVERAGE($I$35,($I$35-$E$109))-$E$105)*(($E$105-F3)/($E$105-$E$104))^(1/$E$108))</f>
        <v>#VALUE!</v>
      </c>
      <c r="G37" s="568" t="e">
        <f ca="1">$E$105+(($E$109/2)*(($E$105-G3)/($E$105-$E$104)))+((AVERAGE($I$35,($I$35-$E$109))-$E$105)*(($E$105-G3)/($E$105-$E$104))^(1/$E$108))</f>
        <v>#VALUE!</v>
      </c>
      <c r="I37" s="527" t="str">
        <f ca="1">I35&amp;"degC basis for Supply Flow Temperature to meet the mandatory test points in Ecodesign, to use for single test point data"</f>
        <v>55degC basis for Supply Flow Temperature to meet the mandatory test points in Ecodesign, to use for single test point data</v>
      </c>
      <c r="J37" s="82"/>
      <c r="O37" s="531">
        <f t="shared" si="3"/>
        <v>21</v>
      </c>
      <c r="Q37" s="532">
        <f>'Meteorological data'!G37</f>
        <v>4.2237442922374432E-3</v>
      </c>
      <c r="R37" s="533">
        <v>37</v>
      </c>
      <c r="S37" s="534">
        <f t="shared" ca="1" si="0"/>
        <v>12.333333333333332</v>
      </c>
      <c r="U37" s="534">
        <f t="shared" ca="1" si="5"/>
        <v>0</v>
      </c>
      <c r="V37" s="534">
        <f t="shared" ca="1" si="1"/>
        <v>0</v>
      </c>
      <c r="W37" s="81" t="s">
        <v>23</v>
      </c>
    </row>
    <row r="38" spans="1:24" ht="38.25">
      <c r="A38" s="80" t="s">
        <v>524</v>
      </c>
      <c r="B38" s="529" t="s">
        <v>525</v>
      </c>
      <c r="C38" s="80">
        <f ca="1">IF(OR($E$98="Air to Water",$E$98="Air to Air"),C3,
IF(LEFT($E$98,7)="Exhaust",$E$105,
IF(OR($E$98="Water to Water",$E$98="Water to Air"),10,
IF($E$98="Direct exchange (DX)",4,
MAX(0,MIN(0.15*C3+1.5,4.5))))))</f>
        <v>0</v>
      </c>
      <c r="D38" s="80">
        <f ca="1">IF(OR($E$98="Air to Water",$E$98="Air to Air"),D3,
IF(LEFT($E$98,7)="Exhaust",$E$105,
IF(OR($E$98="Water to Water",$E$98="Water to Air"),10,
IF($E$98="Direct exchange (DX)",4,
MAX(0,MIN(0.15*D3+1.5,4.5))))))</f>
        <v>-7</v>
      </c>
      <c r="E38" s="80">
        <f ca="1">IF(OR($E$98="Air to Water",$E$98="Air to Air"),E3,
IF(LEFT($E$98,7)="Exhaust",$E$105,
IF(OR($E$98="Water to Water",$E$98="Water to Air"),10,
IF($E$98="Direct exchange (DX)",4,
MAX(0,MIN(0.15*E3+1.5,4.5))))))</f>
        <v>2</v>
      </c>
      <c r="F38" s="80">
        <f ca="1">IF(OR($E$98="Air to Water",$E$98="Air to Air"),F3,
IF(LEFT($E$98,7)="Exhaust",$E$105,
IF(OR($E$98="Water to Water",$E$98="Water to Air"),10,
IF($E$98="Direct exchange (DX)",4,
MAX(0,MIN(0.15*F3+1.5,4.5))))))</f>
        <v>7</v>
      </c>
      <c r="G38" s="80">
        <f ca="1">IF(OR($E$98="Air to Water",$E$98="Air to Air"),G3,
IF(LEFT($E$98,7)="Exhaust",$E$105,
IF(OR($E$98="Water to Water",$E$98="Water to Air"),10,
IF($E$98="Direct exchange (DX)",4,
MAX(0,MIN(0.15*G3+1.5,4.5))))))</f>
        <v>12</v>
      </c>
      <c r="I38" s="523" t="s">
        <v>526</v>
      </c>
      <c r="J38" s="82"/>
      <c r="K38" s="523"/>
      <c r="M38" s="523"/>
      <c r="N38" s="523"/>
      <c r="O38" s="531">
        <f t="shared" si="3"/>
        <v>22</v>
      </c>
      <c r="Q38" s="532">
        <f>'Meteorological data'!G38</f>
        <v>3.0821917808219177E-3</v>
      </c>
      <c r="R38" s="533">
        <v>27</v>
      </c>
      <c r="S38" s="534">
        <f t="shared" ca="1" si="0"/>
        <v>9</v>
      </c>
      <c r="U38" s="534">
        <f t="shared" ca="1" si="5"/>
        <v>0</v>
      </c>
      <c r="V38" s="534">
        <f t="shared" ca="1" si="1"/>
        <v>0</v>
      </c>
      <c r="W38" s="81" t="s">
        <v>23</v>
      </c>
    </row>
    <row r="39" spans="1:24" ht="119.25" customHeight="1">
      <c r="A39" s="80" t="s">
        <v>527</v>
      </c>
      <c r="B39" s="528" t="s">
        <v>528</v>
      </c>
      <c r="C39" s="81" t="e">
        <f ca="1">$E$105+
((($E$107-$E$110)/2)*
(($E$105-C3)/
($E$105-$E$104)))+
((AVERAGE($E$107,$E$110)-$E$105)*
(($E$105-C3)/($E$105-$E$104))^
(1/$E$108))</f>
        <v>#VALUE!</v>
      </c>
      <c r="D39" s="81" t="e">
        <f ca="1">$E$105+
((($E$107-$E$110)/2)*
(($E$105-D3)/
($E$105-$E$104)))+
((AVERAGE($E$107,$E$110)-$E$105)*
(($E$105-D3)/($E$105-$E$104))^
(1/$E$108))</f>
        <v>#VALUE!</v>
      </c>
      <c r="E39" s="81" t="e">
        <f ca="1">$E$105+
((($E$107-$E$110)/2)*
(($E$105-E3)/
($E$105-$E$104)))+
((AVERAGE($E$107,$E$110)-$E$105)*
(($E$105-E3)/($E$105-$E$104))^
(1/$E$108))</f>
        <v>#VALUE!</v>
      </c>
      <c r="F39" s="81" t="e">
        <f ca="1">$E$105+
((($E$107-$E$110)/2)*
(($E$105-F3)/
($E$105-$E$104)))+
((AVERAGE($E$107,$E$110)-$E$105)*
(($E$105-F3)/($E$105-$E$104))^
(1/$E$108))</f>
        <v>#VALUE!</v>
      </c>
      <c r="G39" s="81" t="e">
        <f ca="1">$E$105+
((($E$107-$E$110)/2)*
(($E$105-G3)/
($E$105-$E$104)))+
((AVERAGE($E$107,$E$110)-$E$105)*
(($E$105-G3)/($E$105-$E$104))^
(1/$E$108))</f>
        <v>#VALUE!</v>
      </c>
      <c r="H39" s="80" t="s">
        <v>23</v>
      </c>
      <c r="M39" s="523"/>
      <c r="O39" s="531">
        <f t="shared" si="3"/>
        <v>23</v>
      </c>
      <c r="Q39" s="532">
        <f>'Meteorological data'!G39</f>
        <v>2.2831050228310501E-3</v>
      </c>
      <c r="R39" s="533">
        <v>20</v>
      </c>
      <c r="S39" s="534">
        <f t="shared" ca="1" si="0"/>
        <v>6.6666666666666661</v>
      </c>
      <c r="U39" s="534">
        <f t="shared" ca="1" si="5"/>
        <v>0</v>
      </c>
      <c r="V39" s="534">
        <f t="shared" ca="1" si="1"/>
        <v>0</v>
      </c>
      <c r="W39" s="81" t="s">
        <v>23</v>
      </c>
    </row>
    <row r="40" spans="1:24" ht="43.35" customHeight="1">
      <c r="A40" s="80" t="s">
        <v>529</v>
      </c>
      <c r="B40" s="528" t="s">
        <v>530</v>
      </c>
      <c r="C40" s="718" t="s">
        <v>531</v>
      </c>
      <c r="D40" s="719"/>
      <c r="E40" s="719"/>
      <c r="F40" s="719"/>
      <c r="G40" s="719"/>
      <c r="H40" s="719"/>
      <c r="J40" s="82"/>
      <c r="K40" s="82"/>
      <c r="M40" s="82"/>
      <c r="N40" s="523"/>
      <c r="O40" s="531">
        <f t="shared" si="3"/>
        <v>24</v>
      </c>
      <c r="Q40" s="532">
        <f>'Meteorological data'!G40</f>
        <v>1.4840182648401827E-3</v>
      </c>
      <c r="R40" s="533">
        <v>13</v>
      </c>
      <c r="S40" s="534">
        <f t="shared" ca="1" si="0"/>
        <v>4.333333333333333</v>
      </c>
      <c r="U40" s="534">
        <f t="shared" ca="1" si="5"/>
        <v>0</v>
      </c>
      <c r="V40" s="534">
        <f t="shared" ca="1" si="1"/>
        <v>0</v>
      </c>
      <c r="W40" s="81" t="s">
        <v>23</v>
      </c>
    </row>
    <row r="41" spans="1:24" ht="25.5">
      <c r="A41" s="80" t="s">
        <v>532</v>
      </c>
      <c r="B41" s="528" t="s">
        <v>533</v>
      </c>
      <c r="C41" s="81">
        <f ca="1">IF($C$29="Error",C35,((C36-C35)/(C32-C31))*(C39-C31)+C35)</f>
        <v>0</v>
      </c>
      <c r="D41" s="81">
        <f ca="1">IF($C$29="Error",D35,((D36-D35)/(D32-D31))*(D39-D31)+D35)</f>
        <v>0</v>
      </c>
      <c r="E41" s="81">
        <f ca="1">IF($C$29="Error",E35,((E36-E35)/(E32-E31))*(E39-E31)+E35)</f>
        <v>0</v>
      </c>
      <c r="F41" s="81">
        <f ca="1">IF($C$29="Error",F35,((F36-F35)/(F32-F31))*(F39-F31)+F35)</f>
        <v>0</v>
      </c>
      <c r="G41" s="81">
        <f ca="1">IF($C$29="Error",G35,((G36-G35)/(G32-G31))*(G39-G31)+G35)</f>
        <v>0</v>
      </c>
      <c r="I41" s="527" t="s">
        <v>534</v>
      </c>
      <c r="J41" s="82"/>
      <c r="N41" s="82"/>
      <c r="O41" s="531">
        <f t="shared" si="3"/>
        <v>25</v>
      </c>
      <c r="Q41" s="532">
        <f>'Meteorological data'!G41</f>
        <v>0</v>
      </c>
      <c r="R41" s="533">
        <v>0</v>
      </c>
      <c r="S41" s="534">
        <f t="shared" ca="1" si="0"/>
        <v>0</v>
      </c>
      <c r="U41" s="534">
        <f t="shared" ca="1" si="5"/>
        <v>0</v>
      </c>
      <c r="V41" s="534">
        <f t="shared" ca="1" si="1"/>
        <v>0</v>
      </c>
      <c r="W41" s="81" t="s">
        <v>23</v>
      </c>
    </row>
    <row r="42" spans="1:24" ht="13.5" thickBot="1">
      <c r="C42" s="534"/>
      <c r="D42" s="534"/>
      <c r="E42" s="534"/>
      <c r="F42" s="534"/>
      <c r="G42" s="534"/>
      <c r="J42" s="82"/>
      <c r="O42" s="531">
        <f t="shared" si="3"/>
        <v>26</v>
      </c>
      <c r="Q42" s="532">
        <f>'Meteorological data'!G42</f>
        <v>0</v>
      </c>
      <c r="R42" s="533">
        <v>0</v>
      </c>
      <c r="S42" s="534">
        <f t="shared" ca="1" si="0"/>
        <v>0</v>
      </c>
      <c r="U42" s="534">
        <f t="shared" ca="1" si="5"/>
        <v>0</v>
      </c>
      <c r="V42" s="534">
        <f t="shared" ca="1" si="1"/>
        <v>0</v>
      </c>
      <c r="W42" s="81" t="s">
        <v>23</v>
      </c>
    </row>
    <row r="43" spans="1:24" ht="38.25">
      <c r="A43" s="80" t="s">
        <v>535</v>
      </c>
      <c r="B43" s="80" t="s">
        <v>536</v>
      </c>
      <c r="C43" s="80">
        <f ca="1">IF(C28="Low",F35,F35)</f>
        <v>0</v>
      </c>
      <c r="D43" s="80" t="s">
        <v>369</v>
      </c>
      <c r="I43" s="569" t="s">
        <v>537</v>
      </c>
      <c r="J43" s="570" t="s">
        <v>538</v>
      </c>
      <c r="K43" s="566" t="s">
        <v>539</v>
      </c>
      <c r="N43" s="82"/>
      <c r="O43" s="531">
        <f t="shared" si="3"/>
        <v>27</v>
      </c>
      <c r="Q43" s="532">
        <f>'Meteorological data'!G43</f>
        <v>0</v>
      </c>
      <c r="R43" s="533">
        <v>0</v>
      </c>
      <c r="S43" s="534">
        <f t="shared" ca="1" si="0"/>
        <v>0</v>
      </c>
      <c r="U43" s="534">
        <f t="shared" ca="1" si="5"/>
        <v>0</v>
      </c>
      <c r="V43" s="534">
        <f t="shared" ca="1" si="1"/>
        <v>0</v>
      </c>
      <c r="W43" s="81" t="s">
        <v>23</v>
      </c>
    </row>
    <row r="44" spans="1:24" ht="39" thickBot="1">
      <c r="A44" s="80" t="s">
        <v>540</v>
      </c>
      <c r="B44" s="571" t="s">
        <v>541</v>
      </c>
      <c r="C44" s="81">
        <f ca="1">C43/(4.182*J44)</f>
        <v>0</v>
      </c>
      <c r="D44" s="81" t="s">
        <v>23</v>
      </c>
      <c r="F44" s="81" t="s">
        <v>23</v>
      </c>
      <c r="G44" s="81" t="s">
        <v>23</v>
      </c>
      <c r="I44" s="527" t="s">
        <v>542</v>
      </c>
      <c r="J44" s="572">
        <f ca="1">IF(E133="Electricity",5,7+10*(K44-35)/30)</f>
        <v>5</v>
      </c>
      <c r="K44" s="567">
        <f ca="1">E131</f>
        <v>55</v>
      </c>
      <c r="O44" s="531">
        <f t="shared" si="3"/>
        <v>28</v>
      </c>
      <c r="Q44" s="532">
        <f>'Meteorological data'!G44</f>
        <v>0</v>
      </c>
      <c r="R44" s="533">
        <v>0</v>
      </c>
      <c r="S44" s="534">
        <f t="shared" ca="1" si="0"/>
        <v>0</v>
      </c>
      <c r="U44" s="534">
        <f t="shared" ca="1" si="5"/>
        <v>0</v>
      </c>
      <c r="V44" s="534">
        <f t="shared" ca="1" si="1"/>
        <v>0</v>
      </c>
      <c r="W44" s="81" t="s">
        <v>23</v>
      </c>
    </row>
    <row r="45" spans="1:24" ht="14.25">
      <c r="A45" s="80" t="s">
        <v>543</v>
      </c>
      <c r="B45" s="528" t="s">
        <v>544</v>
      </c>
      <c r="C45" s="81" t="e">
        <f ca="1">C35/($C$44*4.182)</f>
        <v>#DIV/0!</v>
      </c>
      <c r="D45" s="81" t="e">
        <f t="shared" ref="C45:G46" ca="1" si="28">D35/($C$44*4.182)</f>
        <v>#DIV/0!</v>
      </c>
      <c r="E45" s="81" t="e">
        <f t="shared" ca="1" si="28"/>
        <v>#DIV/0!</v>
      </c>
      <c r="F45" s="81" t="e">
        <f t="shared" ca="1" si="28"/>
        <v>#DIV/0!</v>
      </c>
      <c r="G45" s="81" t="e">
        <f t="shared" ca="1" si="28"/>
        <v>#DIV/0!</v>
      </c>
      <c r="J45" s="82"/>
      <c r="O45" s="531">
        <f t="shared" si="3"/>
        <v>29</v>
      </c>
      <c r="Q45" s="532">
        <f>'Meteorological data'!G45</f>
        <v>0</v>
      </c>
      <c r="R45" s="533">
        <v>0</v>
      </c>
      <c r="S45" s="534">
        <f t="shared" ca="1" si="0"/>
        <v>0</v>
      </c>
      <c r="U45" s="534">
        <f t="shared" ca="1" si="5"/>
        <v>0</v>
      </c>
      <c r="V45" s="534">
        <f t="shared" ca="1" si="1"/>
        <v>0</v>
      </c>
      <c r="W45" s="81" t="s">
        <v>23</v>
      </c>
    </row>
    <row r="46" spans="1:24" ht="14.25">
      <c r="A46" s="80" t="s">
        <v>545</v>
      </c>
      <c r="B46" s="528" t="s">
        <v>544</v>
      </c>
      <c r="C46" s="81" t="e">
        <f t="shared" ca="1" si="28"/>
        <v>#DIV/0!</v>
      </c>
      <c r="D46" s="81" t="e">
        <f t="shared" ca="1" si="28"/>
        <v>#DIV/0!</v>
      </c>
      <c r="E46" s="81" t="e">
        <f t="shared" ca="1" si="28"/>
        <v>#DIV/0!</v>
      </c>
      <c r="F46" s="81" t="e">
        <f t="shared" ca="1" si="28"/>
        <v>#DIV/0!</v>
      </c>
      <c r="G46" s="81" t="e">
        <f t="shared" ca="1" si="28"/>
        <v>#DIV/0!</v>
      </c>
      <c r="J46" s="82"/>
      <c r="O46" s="531">
        <f t="shared" si="3"/>
        <v>30</v>
      </c>
      <c r="Q46" s="532">
        <f>'Meteorological data'!G46</f>
        <v>0</v>
      </c>
      <c r="R46" s="533">
        <v>0</v>
      </c>
      <c r="S46" s="534">
        <f t="shared" ca="1" si="0"/>
        <v>0</v>
      </c>
      <c r="U46" s="534">
        <f t="shared" ca="1" si="5"/>
        <v>0</v>
      </c>
      <c r="V46" s="534">
        <f t="shared" ca="1" si="1"/>
        <v>0</v>
      </c>
      <c r="W46" s="81" t="s">
        <v>23</v>
      </c>
    </row>
    <row r="47" spans="1:24">
      <c r="A47" s="80" t="s">
        <v>546</v>
      </c>
      <c r="B47" s="80" t="s">
        <v>547</v>
      </c>
      <c r="C47" s="81" t="e">
        <f ca="1">E93/1000</f>
        <v>#VALUE!</v>
      </c>
      <c r="D47" s="81" t="s">
        <v>369</v>
      </c>
      <c r="E47" s="81"/>
      <c r="F47" s="81"/>
      <c r="G47" s="81"/>
      <c r="I47" s="523" t="s">
        <v>548</v>
      </c>
      <c r="J47" s="83" t="e">
        <f ca="1">C43/C47</f>
        <v>#VALUE!</v>
      </c>
      <c r="K47" s="82"/>
      <c r="M47" s="82"/>
      <c r="N47" s="523"/>
      <c r="O47" s="531">
        <f t="shared" si="3"/>
        <v>31</v>
      </c>
      <c r="Q47" s="532">
        <f>'Meteorological data'!G47</f>
        <v>0</v>
      </c>
      <c r="R47" s="533">
        <v>0</v>
      </c>
      <c r="S47" s="534">
        <f t="shared" ca="1" si="0"/>
        <v>0</v>
      </c>
      <c r="U47" s="534">
        <f t="shared" ca="1" si="5"/>
        <v>0</v>
      </c>
      <c r="V47" s="534">
        <f t="shared" ca="1" si="1"/>
        <v>0</v>
      </c>
      <c r="W47" s="81" t="s">
        <v>23</v>
      </c>
    </row>
    <row r="48" spans="1:24">
      <c r="A48" s="80" t="s">
        <v>549</v>
      </c>
      <c r="B48" s="80" t="s">
        <v>550</v>
      </c>
      <c r="C48" s="81">
        <f ca="1">$E$107-$E$110</f>
        <v>10</v>
      </c>
      <c r="D48" s="81"/>
      <c r="E48" s="81"/>
      <c r="F48" s="81"/>
      <c r="G48" s="81"/>
      <c r="J48" s="82"/>
      <c r="O48" s="531">
        <f t="shared" si="3"/>
        <v>32</v>
      </c>
      <c r="Q48" s="532">
        <f>'Meteorological data'!G48</f>
        <v>0</v>
      </c>
      <c r="R48" s="533">
        <v>0</v>
      </c>
      <c r="S48" s="534">
        <f t="shared" ca="1" si="0"/>
        <v>0</v>
      </c>
      <c r="U48" s="534">
        <f t="shared" ca="1" si="5"/>
        <v>0</v>
      </c>
      <c r="V48" s="534">
        <f t="shared" ca="1" si="1"/>
        <v>0</v>
      </c>
      <c r="W48" s="81" t="s">
        <v>23</v>
      </c>
    </row>
    <row r="49" spans="1:23">
      <c r="A49" s="80" t="s">
        <v>551</v>
      </c>
      <c r="B49" s="571" t="s">
        <v>541</v>
      </c>
      <c r="C49" s="81" t="e">
        <f ca="1">C47/(C48*4.182)</f>
        <v>#VALUE!</v>
      </c>
      <c r="J49" s="82"/>
      <c r="K49" s="523"/>
      <c r="M49" s="523"/>
      <c r="O49" s="531">
        <f t="shared" si="3"/>
        <v>33</v>
      </c>
      <c r="Q49" s="532">
        <f>'Meteorological data'!G49</f>
        <v>0</v>
      </c>
      <c r="R49" s="533">
        <v>0</v>
      </c>
      <c r="S49" s="534">
        <f t="shared" ca="1" si="0"/>
        <v>0</v>
      </c>
      <c r="U49" s="534">
        <f t="shared" ca="1" si="5"/>
        <v>0</v>
      </c>
      <c r="V49" s="534">
        <f t="shared" ca="1" si="1"/>
        <v>0</v>
      </c>
      <c r="W49" s="81" t="s">
        <v>23</v>
      </c>
    </row>
    <row r="50" spans="1:23" ht="25.5">
      <c r="A50" s="82" t="s">
        <v>552</v>
      </c>
      <c r="B50" s="528" t="s">
        <v>544</v>
      </c>
      <c r="C50" s="81" t="e">
        <f ca="1">C35/($C$49*4.182)</f>
        <v>#VALUE!</v>
      </c>
      <c r="D50" s="81" t="e">
        <f t="shared" ref="D50:G51" ca="1" si="29">D35/($C$49*4.182)</f>
        <v>#VALUE!</v>
      </c>
      <c r="E50" s="81" t="e">
        <f t="shared" ca="1" si="29"/>
        <v>#VALUE!</v>
      </c>
      <c r="F50" s="81" t="e">
        <f t="shared" ca="1" si="29"/>
        <v>#VALUE!</v>
      </c>
      <c r="G50" s="81" t="e">
        <f t="shared" ca="1" si="29"/>
        <v>#VALUE!</v>
      </c>
      <c r="J50" s="82"/>
      <c r="O50" s="531">
        <f t="shared" si="3"/>
        <v>34</v>
      </c>
      <c r="Q50" s="532">
        <f>'Meteorological data'!G50</f>
        <v>0</v>
      </c>
      <c r="R50" s="533">
        <v>0</v>
      </c>
      <c r="S50" s="534">
        <f t="shared" ca="1" si="0"/>
        <v>0</v>
      </c>
      <c r="U50" s="534">
        <f t="shared" ca="1" si="5"/>
        <v>0</v>
      </c>
      <c r="V50" s="534">
        <f t="shared" ca="1" si="1"/>
        <v>0</v>
      </c>
      <c r="W50" s="81" t="s">
        <v>23</v>
      </c>
    </row>
    <row r="51" spans="1:23" ht="25.5">
      <c r="A51" s="82" t="s">
        <v>553</v>
      </c>
      <c r="B51" s="528" t="s">
        <v>544</v>
      </c>
      <c r="C51" s="81" t="e">
        <f ca="1">C36/($C$49*4.182)</f>
        <v>#VALUE!</v>
      </c>
      <c r="D51" s="81" t="e">
        <f t="shared" ca="1" si="29"/>
        <v>#VALUE!</v>
      </c>
      <c r="E51" s="81" t="e">
        <f t="shared" ca="1" si="29"/>
        <v>#VALUE!</v>
      </c>
      <c r="F51" s="81" t="e">
        <f t="shared" ca="1" si="29"/>
        <v>#VALUE!</v>
      </c>
      <c r="G51" s="81" t="e">
        <f t="shared" ca="1" si="29"/>
        <v>#VALUE!</v>
      </c>
      <c r="J51" s="82"/>
      <c r="O51" s="531">
        <f t="shared" si="3"/>
        <v>35</v>
      </c>
      <c r="Q51" s="532">
        <f>'Meteorological data'!G51</f>
        <v>0</v>
      </c>
      <c r="R51" s="533">
        <v>0</v>
      </c>
      <c r="S51" s="534">
        <f t="shared" ca="1" si="0"/>
        <v>0</v>
      </c>
      <c r="U51" s="534">
        <f t="shared" ca="1" si="5"/>
        <v>0</v>
      </c>
      <c r="V51" s="534">
        <f t="shared" ca="1" si="1"/>
        <v>0</v>
      </c>
      <c r="W51" s="81" t="s">
        <v>23</v>
      </c>
    </row>
    <row r="52" spans="1:23" ht="38.25">
      <c r="A52" s="80" t="s">
        <v>554</v>
      </c>
      <c r="B52" s="571" t="s">
        <v>555</v>
      </c>
      <c r="C52" s="81" t="e">
        <f ca="1">1-((C45-C50)/2)/((273.15+C31)-C45/2+5-(273.15+C38-5))</f>
        <v>#DIV/0!</v>
      </c>
      <c r="D52" s="81" t="e">
        <f ca="1">1-((D45-D50)/2)/((273.15+D31)-D45/2+5-(273.15+D38-5))</f>
        <v>#DIV/0!</v>
      </c>
      <c r="E52" s="81" t="e">
        <f ca="1">1-((E45-E50)/2)/((273.15+E31)-E45/2+5-(273.15+E38-5))</f>
        <v>#DIV/0!</v>
      </c>
      <c r="F52" s="81" t="e">
        <f ca="1">1-((F45-F50)/2)/((273.15+F31)-F45/2+5-(273.15+F38-5))</f>
        <v>#DIV/0!</v>
      </c>
      <c r="G52" s="81" t="e">
        <f ca="1">1-((G45-G50)/2)/((273.15+G31)-G45/2+5-(273.15+G38-5))</f>
        <v>#DIV/0!</v>
      </c>
      <c r="I52" s="529" t="s">
        <v>556</v>
      </c>
      <c r="J52" s="82"/>
      <c r="Q52" s="532"/>
      <c r="R52" s="532"/>
      <c r="S52" s="532"/>
      <c r="U52" s="534"/>
      <c r="V52" s="534"/>
      <c r="W52" s="81"/>
    </row>
    <row r="53" spans="1:23" ht="38.25">
      <c r="A53" s="80" t="s">
        <v>557</v>
      </c>
      <c r="B53" s="571" t="s">
        <v>555</v>
      </c>
      <c r="C53" s="81" t="e">
        <f ca="1">1-((C46-C51)/2)/((273.15+C32)-C46/2+5-(273.15+C38-5))</f>
        <v>#DIV/0!</v>
      </c>
      <c r="D53" s="81" t="e">
        <f ca="1">1-((D46-D51)/2)/((273.15+D32)-D46/2+5-(273.15+D38-5))</f>
        <v>#DIV/0!</v>
      </c>
      <c r="E53" s="81" t="e">
        <f ca="1">1-((E46-E51)/2)/((273.15+E32)-E46/2+5-(273.15+E38-5))</f>
        <v>#DIV/0!</v>
      </c>
      <c r="F53" s="81" t="e">
        <f ca="1">1-((F46-F51)/2)/((273.15+F32)-F46/2+5-(273.15+F38-5))</f>
        <v>#DIV/0!</v>
      </c>
      <c r="G53" s="81" t="e">
        <f ca="1">1-((G46-G51)/2)/((273.15+G32)-G46/2+5-(273.15+G38-5))</f>
        <v>#DIV/0!</v>
      </c>
      <c r="I53" s="529" t="s">
        <v>558</v>
      </c>
      <c r="J53" s="82"/>
    </row>
    <row r="54" spans="1:23">
      <c r="A54" s="80" t="s">
        <v>559</v>
      </c>
      <c r="B54" s="571" t="s">
        <v>555</v>
      </c>
      <c r="C54" s="534" t="e">
        <f ca="1">C33*C52</f>
        <v>#DIV/0!</v>
      </c>
      <c r="D54" s="534" t="e">
        <f ca="1">D33*D52</f>
        <v>#DIV/0!</v>
      </c>
      <c r="E54" s="534" t="e">
        <f t="shared" ref="D54:G55" ca="1" si="30">E33*E52</f>
        <v>#DIV/0!</v>
      </c>
      <c r="F54" s="534" t="e">
        <f t="shared" ca="1" si="30"/>
        <v>#DIV/0!</v>
      </c>
      <c r="G54" s="534" t="e">
        <f t="shared" ca="1" si="30"/>
        <v>#DIV/0!</v>
      </c>
      <c r="J54" s="82"/>
    </row>
    <row r="55" spans="1:23">
      <c r="A55" s="80" t="s">
        <v>560</v>
      </c>
      <c r="B55" s="571" t="s">
        <v>555</v>
      </c>
      <c r="C55" s="81" t="e">
        <f ca="1">C34*C53</f>
        <v>#DIV/0!</v>
      </c>
      <c r="D55" s="81" t="e">
        <f t="shared" ca="1" si="30"/>
        <v>#DIV/0!</v>
      </c>
      <c r="E55" s="81" t="e">
        <f t="shared" ca="1" si="30"/>
        <v>#DIV/0!</v>
      </c>
      <c r="F55" s="81" t="e">
        <f t="shared" ca="1" si="30"/>
        <v>#DIV/0!</v>
      </c>
      <c r="G55" s="81" t="e">
        <f ca="1">G34*G53</f>
        <v>#DIV/0!</v>
      </c>
      <c r="J55" s="82"/>
    </row>
    <row r="56" spans="1:23" ht="78">
      <c r="A56" s="80" t="s">
        <v>561</v>
      </c>
      <c r="B56" s="529" t="s">
        <v>562</v>
      </c>
      <c r="C56" s="81" t="e">
        <f ca="1">MAX(0.5,IF($C$29="Error",IF($E$99="Fixed Outlet",C54,C54*(((273.15+C37)*(C31-C6))/((273.15+C31)*(C37-C38)))),((C55-C54)/(C32-C31))*(C39-C31)+C54))</f>
        <v>#DIV/0!</v>
      </c>
      <c r="D56" s="81" t="e">
        <f t="shared" ref="D56:G56" ca="1" si="31">MAX(0.5,IF($C$29="Error",IF($E$99="Fixed Outlet",D54,D54*(((273.15+D37)*(D31-D6))/((273.15+D31)*(D37-D38)))),((D55-D54)/(D32-D31))*(D39-D31)+D54))</f>
        <v>#DIV/0!</v>
      </c>
      <c r="E56" s="81" t="e">
        <f t="shared" ca="1" si="31"/>
        <v>#DIV/0!</v>
      </c>
      <c r="F56" s="81" t="e">
        <f t="shared" ca="1" si="31"/>
        <v>#DIV/0!</v>
      </c>
      <c r="G56" s="81" t="e">
        <f t="shared" ca="1" si="31"/>
        <v>#DIV/0!</v>
      </c>
      <c r="H56" s="81" t="s">
        <v>23</v>
      </c>
      <c r="I56" s="529" t="s">
        <v>563</v>
      </c>
      <c r="J56" s="82" t="s">
        <v>23</v>
      </c>
    </row>
    <row r="57" spans="1:23" ht="36" customHeight="1">
      <c r="A57" s="523" t="s">
        <v>23</v>
      </c>
      <c r="B57" s="523" t="s">
        <v>23</v>
      </c>
      <c r="C57" s="523" t="s">
        <v>23</v>
      </c>
      <c r="D57" s="523" t="s">
        <v>23</v>
      </c>
      <c r="E57" s="523" t="s">
        <v>23</v>
      </c>
      <c r="F57" s="523" t="s">
        <v>23</v>
      </c>
      <c r="G57" s="523" t="s">
        <v>23</v>
      </c>
      <c r="H57" s="523" t="s">
        <v>23</v>
      </c>
      <c r="J57" s="82"/>
    </row>
    <row r="58" spans="1:23">
      <c r="A58" s="80" t="s">
        <v>564</v>
      </c>
      <c r="C58" s="80" t="s">
        <v>565</v>
      </c>
      <c r="J58" s="82"/>
    </row>
    <row r="59" spans="1:23">
      <c r="J59" s="82"/>
    </row>
    <row r="60" spans="1:23">
      <c r="A60" s="80" t="s">
        <v>566</v>
      </c>
      <c r="B60" s="80" t="s">
        <v>92</v>
      </c>
      <c r="C60" s="81">
        <f ca="1">C8</f>
        <v>0</v>
      </c>
      <c r="D60" s="81">
        <f ca="1">D8</f>
        <v>0</v>
      </c>
      <c r="E60" s="81">
        <f ca="1">E8</f>
        <v>0</v>
      </c>
      <c r="F60" s="81">
        <f ca="1">F8</f>
        <v>0</v>
      </c>
      <c r="G60" s="81">
        <f ca="1">G8</f>
        <v>0</v>
      </c>
      <c r="H60" s="81">
        <f ca="1">SUM(C60:G60)</f>
        <v>0</v>
      </c>
      <c r="J60" s="82"/>
    </row>
    <row r="61" spans="1:23" ht="25.5">
      <c r="A61" s="82" t="s">
        <v>567</v>
      </c>
      <c r="B61" s="80" t="s">
        <v>92</v>
      </c>
      <c r="C61" s="534" t="e">
        <f ca="1">SUM(AC4:AC7)</f>
        <v>#VALUE!</v>
      </c>
      <c r="D61" s="534" t="e">
        <f ca="1">SUM(AC8:AC13)</f>
        <v>#VALUE!</v>
      </c>
      <c r="E61" s="534" t="e">
        <f ca="1">SUM(AC14:AC20)</f>
        <v>#VALUE!</v>
      </c>
      <c r="F61" s="534" t="e">
        <f ca="1">SUM(AC21:AC25)</f>
        <v>#VALUE!</v>
      </c>
      <c r="G61" s="534" t="e">
        <f ca="1">SUM(AC26:AC31)</f>
        <v>#VALUE!</v>
      </c>
      <c r="H61" s="534" t="e">
        <f ca="1">SUM(C61:G61)</f>
        <v>#VALUE!</v>
      </c>
      <c r="I61" s="536"/>
      <c r="J61" s="82"/>
      <c r="N61" s="523"/>
    </row>
    <row r="62" spans="1:23" ht="36.6" customHeight="1">
      <c r="A62" s="82" t="s">
        <v>568</v>
      </c>
      <c r="B62" s="80" t="s">
        <v>92</v>
      </c>
      <c r="C62" s="80" t="e">
        <f t="shared" ref="C62:H62" ca="1" si="32">C61/$E$118</f>
        <v>#VALUE!</v>
      </c>
      <c r="D62" s="80" t="e">
        <f t="shared" ca="1" si="32"/>
        <v>#VALUE!</v>
      </c>
      <c r="E62" s="80" t="e">
        <f t="shared" ca="1" si="32"/>
        <v>#VALUE!</v>
      </c>
      <c r="F62" s="80" t="e">
        <f t="shared" ca="1" si="32"/>
        <v>#VALUE!</v>
      </c>
      <c r="G62" s="80" t="e">
        <f t="shared" ca="1" si="32"/>
        <v>#VALUE!</v>
      </c>
      <c r="H62" s="80" t="e">
        <f t="shared" ca="1" si="32"/>
        <v>#VALUE!</v>
      </c>
      <c r="I62" s="527" t="s">
        <v>569</v>
      </c>
      <c r="J62" s="82"/>
    </row>
    <row r="63" spans="1:23">
      <c r="A63" s="80" t="s">
        <v>570</v>
      </c>
      <c r="J63" s="82"/>
    </row>
    <row r="64" spans="1:23">
      <c r="A64" s="80" t="s">
        <v>571</v>
      </c>
      <c r="J64" s="82"/>
    </row>
    <row r="65" spans="1:29">
      <c r="A65" s="80" t="s">
        <v>572</v>
      </c>
      <c r="J65" s="82"/>
    </row>
    <row r="66" spans="1:29">
      <c r="J66" s="82"/>
    </row>
    <row r="67" spans="1:29" ht="25.5">
      <c r="A67" s="527" t="s">
        <v>573</v>
      </c>
      <c r="B67" s="80" t="s">
        <v>92</v>
      </c>
      <c r="C67" s="534" t="e">
        <f ca="1">(C60-C61)/C56</f>
        <v>#VALUE!</v>
      </c>
      <c r="D67" s="534" t="e">
        <f ca="1">(D60-D61)/D56</f>
        <v>#VALUE!</v>
      </c>
      <c r="E67" s="534" t="e">
        <f ca="1">(E60-E61)/E56</f>
        <v>#VALUE!</v>
      </c>
      <c r="F67" s="534" t="e">
        <f ca="1">(F60-F61)/F56</f>
        <v>#VALUE!</v>
      </c>
      <c r="G67" s="534" t="e">
        <f ca="1">(G60-G61)/G56</f>
        <v>#VALUE!</v>
      </c>
      <c r="H67" s="534" t="e">
        <f ca="1">SUM(C67:G67)</f>
        <v>#VALUE!</v>
      </c>
      <c r="J67" s="82"/>
    </row>
    <row r="68" spans="1:29">
      <c r="A68" s="82"/>
      <c r="J68" s="82"/>
    </row>
    <row r="69" spans="1:29" ht="25.5">
      <c r="A69" s="527" t="s">
        <v>574</v>
      </c>
      <c r="B69" s="80" t="s">
        <v>92</v>
      </c>
      <c r="C69" s="534" t="e">
        <f ca="1">C62+C67</f>
        <v>#VALUE!</v>
      </c>
      <c r="D69" s="534" t="e">
        <f ca="1">D62+D67</f>
        <v>#VALUE!</v>
      </c>
      <c r="E69" s="534" t="e">
        <f ca="1">E62+E67</f>
        <v>#VALUE!</v>
      </c>
      <c r="F69" s="534" t="e">
        <f ca="1">F62+F67</f>
        <v>#VALUE!</v>
      </c>
      <c r="G69" s="534" t="e">
        <f ca="1">G62+G67</f>
        <v>#VALUE!</v>
      </c>
      <c r="H69" s="534" t="e">
        <f ca="1">SUM(C69:G69)</f>
        <v>#VALUE!</v>
      </c>
      <c r="J69" s="82"/>
    </row>
    <row r="70" spans="1:29">
      <c r="J70" s="82"/>
    </row>
    <row r="71" spans="1:29">
      <c r="A71" s="80" t="s">
        <v>575</v>
      </c>
      <c r="H71" s="573" t="e">
        <f ca="1">H60/H69</f>
        <v>#VALUE!</v>
      </c>
      <c r="J71" s="82"/>
    </row>
    <row r="72" spans="1:29">
      <c r="J72" s="82"/>
    </row>
    <row r="73" spans="1:29" s="574" customFormat="1">
      <c r="A73" s="574" t="s">
        <v>576</v>
      </c>
      <c r="H73" s="574" t="e">
        <f ca="1">IF(H71&gt;2.5,(H71-2.5)*H69,0)</f>
        <v>#VALUE!</v>
      </c>
      <c r="I73" s="574" t="s">
        <v>92</v>
      </c>
      <c r="J73" s="575"/>
      <c r="L73" s="575"/>
      <c r="AC73" s="575"/>
    </row>
    <row r="74" spans="1:29">
      <c r="J74" s="82"/>
    </row>
    <row r="75" spans="1:29">
      <c r="A75" s="80" t="s">
        <v>577</v>
      </c>
      <c r="B75" s="80" t="s">
        <v>92</v>
      </c>
      <c r="C75" s="81" t="e">
        <f ca="1">C60-C61</f>
        <v>#VALUE!</v>
      </c>
      <c r="D75" s="81" t="e">
        <f ca="1">D60-D61</f>
        <v>#VALUE!</v>
      </c>
      <c r="E75" s="81" t="e">
        <f ca="1">E60-E61</f>
        <v>#VALUE!</v>
      </c>
      <c r="F75" s="81" t="e">
        <f ca="1">F60-F61</f>
        <v>#VALUE!</v>
      </c>
      <c r="G75" s="81" t="e">
        <f ca="1">G60-G61</f>
        <v>#VALUE!</v>
      </c>
      <c r="H75" s="81" t="e">
        <f ca="1">SUM(C75:G75)</f>
        <v>#VALUE!</v>
      </c>
      <c r="J75" s="82"/>
      <c r="N75" s="82"/>
    </row>
    <row r="76" spans="1:29">
      <c r="J76" s="82"/>
    </row>
    <row r="77" spans="1:29">
      <c r="A77" s="80" t="s">
        <v>578</v>
      </c>
      <c r="H77" s="576" t="e">
        <f ca="1">H75/H67</f>
        <v>#VALUE!</v>
      </c>
      <c r="J77" s="82"/>
    </row>
    <row r="78" spans="1:29">
      <c r="J78" s="82"/>
    </row>
    <row r="79" spans="1:29">
      <c r="A79" s="80" t="s">
        <v>579</v>
      </c>
      <c r="C79" s="3" t="e">
        <f ca="1">(C60-C61)-C67</f>
        <v>#VALUE!</v>
      </c>
      <c r="D79" s="3" t="e">
        <f t="shared" ref="D79:H79" ca="1" si="33">(D60-D61)-D67</f>
        <v>#VALUE!</v>
      </c>
      <c r="E79" s="3" t="e">
        <f t="shared" ca="1" si="33"/>
        <v>#VALUE!</v>
      </c>
      <c r="F79" s="3" t="e">
        <f t="shared" ca="1" si="33"/>
        <v>#VALUE!</v>
      </c>
      <c r="G79" s="3" t="e">
        <f ca="1">(G60-G61)-G67</f>
        <v>#VALUE!</v>
      </c>
      <c r="H79" s="3" t="e">
        <f t="shared" ca="1" si="33"/>
        <v>#VALUE!</v>
      </c>
      <c r="I79" s="80" t="s">
        <v>92</v>
      </c>
      <c r="J79" s="82"/>
      <c r="N79" s="523"/>
    </row>
    <row r="80" spans="1:29">
      <c r="A80" t="s">
        <v>580</v>
      </c>
      <c r="B80"/>
      <c r="C80" s="577" t="e">
        <f ca="1">(C41*(1-1/C56)-($E$136*1.2/3600)*(20-(C3)))/(C41*(1-1/C56))</f>
        <v>#DIV/0!</v>
      </c>
      <c r="D80" s="577" t="e">
        <f ca="1">(D41*(1-1/D56)-($E$136*1.2/3600)*(20-(D3)))/(D41*(1-1/D56))</f>
        <v>#DIV/0!</v>
      </c>
      <c r="E80" s="577" t="e">
        <f ca="1">(E41*(1-1/E56)-($E$136*1.2/3600)*(20-(E3)))/(E41*(1-1/E56))</f>
        <v>#DIV/0!</v>
      </c>
      <c r="F80" s="577" t="e">
        <f ca="1">(F41*(1-1/F56)-($E$136*1.2/3600)*(20-(F3)))/(F41*(1-1/F56))</f>
        <v>#DIV/0!</v>
      </c>
      <c r="G80" s="577" t="e">
        <f ca="1">(G41*(1-1/G56)-($E$136*1.2/3600)*(20-(G3)))/(G41*(1-1/G56))</f>
        <v>#DIV/0!</v>
      </c>
      <c r="J80" s="82"/>
    </row>
    <row r="81" spans="1:14">
      <c r="J81" s="82"/>
    </row>
    <row r="82" spans="1:14">
      <c r="A82" s="523" t="s">
        <v>581</v>
      </c>
      <c r="C82" t="e">
        <f ca="1">C79*C80</f>
        <v>#VALUE!</v>
      </c>
      <c r="D82" t="e">
        <f t="shared" ref="D82:G82" ca="1" si="34">D79*D80</f>
        <v>#VALUE!</v>
      </c>
      <c r="E82" t="e">
        <f t="shared" ca="1" si="34"/>
        <v>#VALUE!</v>
      </c>
      <c r="F82" t="e">
        <f t="shared" ca="1" si="34"/>
        <v>#VALUE!</v>
      </c>
      <c r="G82" t="e">
        <f t="shared" ca="1" si="34"/>
        <v>#VALUE!</v>
      </c>
      <c r="H82" s="578" t="e">
        <f ca="1">SUM(C82:G82)</f>
        <v>#VALUE!</v>
      </c>
      <c r="I82" s="80" t="s">
        <v>582</v>
      </c>
      <c r="J82" s="82"/>
      <c r="N82" s="523"/>
    </row>
    <row r="83" spans="1:14">
      <c r="J83" s="82"/>
    </row>
    <row r="84" spans="1:14">
      <c r="J84" s="82"/>
    </row>
    <row r="85" spans="1:14">
      <c r="H85" s="579">
        <f ca="1">IF(LEFT(E98,7)="Exhaust",H82/H79,1)</f>
        <v>1</v>
      </c>
      <c r="I85" s="80" t="s">
        <v>583</v>
      </c>
      <c r="J85" s="82"/>
    </row>
    <row r="86" spans="1:14">
      <c r="H86" s="81"/>
      <c r="J86" s="82"/>
    </row>
    <row r="87" spans="1:14">
      <c r="J87" s="82"/>
    </row>
    <row r="88" spans="1:14">
      <c r="J88" s="82"/>
    </row>
    <row r="89" spans="1:14" ht="25.5">
      <c r="A89" s="283" t="s">
        <v>429</v>
      </c>
      <c r="B89" s="284" t="s">
        <v>430</v>
      </c>
      <c r="C89" s="284" t="s">
        <v>431</v>
      </c>
      <c r="D89" s="284" t="s">
        <v>432</v>
      </c>
      <c r="E89" s="580"/>
      <c r="F89" s="580"/>
      <c r="G89" s="580"/>
      <c r="H89" s="580"/>
      <c r="I89" s="274"/>
      <c r="J89" s="82"/>
    </row>
    <row r="90" spans="1:14" ht="60" customHeight="1">
      <c r="A90" s="276" t="s">
        <v>584</v>
      </c>
      <c r="B90" s="276" t="str">
        <f>RIGHT(B89)</f>
        <v>1</v>
      </c>
      <c r="C90" s="276" t="str">
        <f>RIGHT(C89)</f>
        <v>2</v>
      </c>
      <c r="D90" s="276" t="str">
        <f>RIGHT(D89)</f>
        <v>3</v>
      </c>
      <c r="E90" s="276" t="s">
        <v>434</v>
      </c>
      <c r="F90" s="277" t="s">
        <v>177</v>
      </c>
      <c r="G90" s="277" t="s">
        <v>178</v>
      </c>
      <c r="H90" s="277" t="s">
        <v>435</v>
      </c>
      <c r="I90" s="82"/>
      <c r="J90" s="82"/>
    </row>
    <row r="91" spans="1:14" ht="15.75">
      <c r="A91" s="282" t="str">
        <f>HP_1!O12</f>
        <v>Same HP for Space and Water Heating</v>
      </c>
      <c r="B91" s="581" t="b">
        <f>HP_1!N12</f>
        <v>1</v>
      </c>
      <c r="C91" s="279" t="b" cm="1">
        <f t="array" aca="1" ref="C91" ca="1">INDIRECT($F91&amp;C$90&amp;"!"&amp;$G91)</f>
        <v>1</v>
      </c>
      <c r="D91" s="279" t="b" cm="1">
        <f t="array" aca="1" ref="D91" ca="1">INDIRECT($F91&amp;D$90&amp;"!"&amp;$G91)</f>
        <v>1</v>
      </c>
      <c r="E91" s="293" t="b">
        <f ca="1">VLOOKUP(A91,A91:D91,$K$1+1,FALSE)</f>
        <v>1</v>
      </c>
      <c r="F91" s="280" t="str">
        <f ca="1">LEFT(H91,FIND("1",H91)-1)</f>
        <v>HP_</v>
      </c>
      <c r="G91" s="280" t="str">
        <f ca="1">RIGHT(H91,LEN(H91)-FIND("!",H91))</f>
        <v>N12</v>
      </c>
      <c r="H91" s="281" t="str">
        <f ca="1">SUBSTITUTE( _xlfn.FORMULATEXT(B91),"=","")</f>
        <v>HP_1!N12</v>
      </c>
    </row>
    <row r="92" spans="1:14" ht="15.75">
      <c r="A92" s="282" t="str">
        <f>HP_1!A3</f>
        <v>Total heat loss (W/K) taken from DEAP</v>
      </c>
      <c r="B92" s="278">
        <f>HP_1!B3</f>
        <v>0</v>
      </c>
      <c r="C92" s="279" cm="1">
        <f t="array" aca="1" ref="C92" ca="1">INDIRECT($F92&amp;C$90&amp;"!"&amp;$G92)</f>
        <v>0</v>
      </c>
      <c r="D92" s="279" cm="1">
        <f t="array" aca="1" ref="D92" ca="1">INDIRECT($F92&amp;D$90&amp;"!"&amp;$G92)</f>
        <v>0</v>
      </c>
      <c r="E92" s="294">
        <f ca="1">VLOOKUP(A92,A92:D92,$K$1+1,FALSE)</f>
        <v>0</v>
      </c>
      <c r="F92" s="280" t="str">
        <f ca="1">LEFT(H92,FIND("1",H92)-1)</f>
        <v>HP_</v>
      </c>
      <c r="G92" s="280" t="str">
        <f ca="1">RIGHT(H92,LEN(H92)-FIND("!",H92))</f>
        <v>B3</v>
      </c>
      <c r="H92" s="281" t="str">
        <f ca="1">SUBSTITUTE( _xlfn.FORMULATEXT(B92),"=","")</f>
        <v>HP_1!B3</v>
      </c>
    </row>
    <row r="93" spans="1:14" ht="60">
      <c r="A93" s="282" t="str">
        <f>HP_1!A4</f>
        <v>Heat Loss Watts</v>
      </c>
      <c r="B93" s="581" t="str">
        <f>HP_1!B4</f>
        <v>Please complete DEAPEntries tab</v>
      </c>
      <c r="C93" s="279" t="str" cm="1">
        <f t="array" aca="1" ref="C93" ca="1">INDIRECT($F93&amp;C$90&amp;"!"&amp;$G93)</f>
        <v>Please complete DEAPEntries tab</v>
      </c>
      <c r="D93" s="279" t="str" cm="1">
        <f t="array" aca="1" ref="D93" ca="1">INDIRECT($F93&amp;D$90&amp;"!"&amp;$G93)</f>
        <v>Please complete DEAPEntries tab</v>
      </c>
      <c r="E93" s="294" t="str">
        <f t="shared" ref="E93:E150" ca="1" si="35">VLOOKUP(A93,A93:D93,$K$1+1,FALSE)</f>
        <v>Please complete DEAPEntries tab</v>
      </c>
      <c r="F93" s="280" t="str">
        <f t="shared" ref="F93:F150" ca="1" si="36">LEFT(H93,FIND("1",H93)-1)</f>
        <v>HP_</v>
      </c>
      <c r="G93" s="280" t="str">
        <f t="shared" ref="G93:G150" ca="1" si="37">RIGHT(H93,LEN(H93)-FIND("!",H93))</f>
        <v>B4</v>
      </c>
      <c r="H93" s="281" t="str">
        <f t="shared" ref="H93:H150" ca="1" si="38">SUBSTITUTE( _xlfn.FORMULATEXT(B93),"=","")</f>
        <v>HP_1!B4</v>
      </c>
    </row>
    <row r="94" spans="1:14" ht="31.5">
      <c r="A94" s="282" t="str">
        <f>HP_1!A5</f>
        <v>Is this Heat Pump part of a Group Heating Scheme</v>
      </c>
      <c r="B94" s="581" t="str">
        <f>HP_1!B5</f>
        <v>Yes</v>
      </c>
      <c r="C94" s="279" t="str" cm="1">
        <f t="array" aca="1" ref="C94" ca="1">INDIRECT($F94&amp;C$90&amp;"!"&amp;$G94)</f>
        <v>No</v>
      </c>
      <c r="D94" s="279" t="str" cm="1">
        <f t="array" aca="1" ref="D94" ca="1">INDIRECT($F94&amp;D$90&amp;"!"&amp;$G94)</f>
        <v>No</v>
      </c>
      <c r="E94" s="295" t="str">
        <f t="shared" ca="1" si="35"/>
        <v>No</v>
      </c>
      <c r="F94" s="280" t="str">
        <f t="shared" ca="1" si="36"/>
        <v>HP_</v>
      </c>
      <c r="G94" s="280" t="str">
        <f t="shared" ca="1" si="37"/>
        <v>B5</v>
      </c>
      <c r="H94" s="281" t="str">
        <f t="shared" ca="1" si="38"/>
        <v>HP_1!B5</v>
      </c>
    </row>
    <row r="95" spans="1:14" ht="31.5">
      <c r="A95" s="282" t="str">
        <f>HP_1!A6</f>
        <v>Proportion of main space heating provided by this heat pump</v>
      </c>
      <c r="B95" s="581">
        <f>HP_1!B6</f>
        <v>1</v>
      </c>
      <c r="C95" s="279" cm="1">
        <f t="array" aca="1" ref="C95" ca="1">INDIRECT($F95&amp;C$90&amp;"!"&amp;$G95)</f>
        <v>0</v>
      </c>
      <c r="D95" s="279" cm="1">
        <f t="array" aca="1" ref="D95" ca="1">INDIRECT($F95&amp;D$90&amp;"!"&amp;$G95)</f>
        <v>0</v>
      </c>
      <c r="E95" s="296">
        <f t="shared" ca="1" si="35"/>
        <v>0</v>
      </c>
      <c r="F95" s="280" t="str">
        <f t="shared" ca="1" si="36"/>
        <v>HP_</v>
      </c>
      <c r="G95" s="280" t="str">
        <f t="shared" ca="1" si="37"/>
        <v>B6</v>
      </c>
      <c r="H95" s="281" t="str">
        <f t="shared" ca="1" si="38"/>
        <v>HP_1!B6</v>
      </c>
    </row>
    <row r="96" spans="1:14" ht="15.75">
      <c r="A96" s="282" t="str">
        <f>HP_1!A7</f>
        <v>Floor Area of Dwelling</v>
      </c>
      <c r="B96" s="581">
        <f>HP_1!B7</f>
        <v>0</v>
      </c>
      <c r="C96" s="279" cm="1">
        <f t="array" aca="1" ref="C96" ca="1">INDIRECT($F96&amp;C$90&amp;"!"&amp;$G96)</f>
        <v>0</v>
      </c>
      <c r="D96" s="279" cm="1">
        <f t="array" aca="1" ref="D96" ca="1">INDIRECT($F96&amp;D$90&amp;"!"&amp;$G96)</f>
        <v>0</v>
      </c>
      <c r="E96" s="295">
        <f t="shared" ca="1" si="35"/>
        <v>0</v>
      </c>
      <c r="F96" s="280" t="str">
        <f t="shared" ca="1" si="36"/>
        <v>HP_</v>
      </c>
      <c r="G96" s="280" t="str">
        <f t="shared" ca="1" si="37"/>
        <v>B7</v>
      </c>
      <c r="H96" s="281" t="str">
        <f t="shared" ca="1" si="38"/>
        <v>HP_1!B7</v>
      </c>
    </row>
    <row r="97" spans="1:8" ht="31.5">
      <c r="A97" s="282" t="str">
        <f>HP_1!A8</f>
        <v>If Heat Pump serves a Group Heat Scheme, the total Floor Area served by Heat Pump is:</v>
      </c>
      <c r="B97" s="581">
        <f>HP_1!B8</f>
        <v>0</v>
      </c>
      <c r="C97" s="279" cm="1">
        <f t="array" aca="1" ref="C97" ca="1">INDIRECT($F97&amp;C$90&amp;"!"&amp;$G97)</f>
        <v>0</v>
      </c>
      <c r="D97" s="279" cm="1">
        <f t="array" aca="1" ref="D97" ca="1">INDIRECT($F97&amp;D$90&amp;"!"&amp;$G97)</f>
        <v>0</v>
      </c>
      <c r="E97" s="295">
        <f t="shared" ca="1" si="35"/>
        <v>0</v>
      </c>
      <c r="F97" s="280" t="str">
        <f t="shared" ca="1" si="36"/>
        <v>HP_</v>
      </c>
      <c r="G97" s="280" t="str">
        <f t="shared" ca="1" si="37"/>
        <v>B8</v>
      </c>
      <c r="H97" s="281" t="str">
        <f t="shared" ca="1" si="38"/>
        <v>HP_1!B8</v>
      </c>
    </row>
    <row r="98" spans="1:8" ht="15.75">
      <c r="A98" s="282" t="str">
        <f>HP_1!A12</f>
        <v>Type of heat pump</v>
      </c>
      <c r="B98" s="581" t="str">
        <f>HP_1!B12</f>
        <v>Air to Water</v>
      </c>
      <c r="C98" s="279" t="str" cm="1">
        <f t="array" aca="1" ref="C98" ca="1">INDIRECT($F98&amp;C$90&amp;"!"&amp;$G98)</f>
        <v>Air to Water</v>
      </c>
      <c r="D98" s="279" t="str" cm="1">
        <f t="array" aca="1" ref="D98" ca="1">INDIRECT($F98&amp;D$90&amp;"!"&amp;$G98)</f>
        <v>Air to Water</v>
      </c>
      <c r="E98" s="295" t="str">
        <f t="shared" ca="1" si="35"/>
        <v>Air to Water</v>
      </c>
      <c r="F98" s="280" t="str">
        <f t="shared" ca="1" si="36"/>
        <v>HP_</v>
      </c>
      <c r="G98" s="280" t="str">
        <f t="shared" ca="1" si="37"/>
        <v>B12</v>
      </c>
      <c r="H98" s="281" t="str">
        <f t="shared" ca="1" si="38"/>
        <v>HP_1!B12</v>
      </c>
    </row>
    <row r="99" spans="1:8" ht="47.25">
      <c r="A99" s="282" t="str">
        <f>HP_1!A13</f>
        <v>Temperature Control 
(refered to as Capacity Control in Ecodesign Standard Template)</v>
      </c>
      <c r="B99" s="581" t="str">
        <f>HP_1!B13</f>
        <v>Fixed Outlet</v>
      </c>
      <c r="C99" s="279" t="str" cm="1">
        <f t="array" aca="1" ref="C99" ca="1">INDIRECT($F99&amp;C$90&amp;"!"&amp;$G99)</f>
        <v>Fixed Outlet</v>
      </c>
      <c r="D99" s="279" t="str" cm="1">
        <f t="array" aca="1" ref="D99" ca="1">INDIRECT($F99&amp;D$90&amp;"!"&amp;$G99)</f>
        <v>Fixed Outlet</v>
      </c>
      <c r="E99" s="295" t="str">
        <f t="shared" ca="1" si="35"/>
        <v>Fixed Outlet</v>
      </c>
      <c r="F99" s="280" t="str">
        <f t="shared" ca="1" si="36"/>
        <v>HP_</v>
      </c>
      <c r="G99" s="280" t="str">
        <f t="shared" ca="1" si="37"/>
        <v>B13</v>
      </c>
      <c r="H99" s="281" t="str">
        <f t="shared" ca="1" si="38"/>
        <v>HP_1!B13</v>
      </c>
    </row>
    <row r="100" spans="1:8" ht="15.75">
      <c r="A100" s="282" t="str">
        <f>HP_1!A14</f>
        <v>Space Heating Test Standard</v>
      </c>
      <c r="B100" s="278" t="str">
        <f>HP_1!B14</f>
        <v>I.S. EN 14825</v>
      </c>
      <c r="C100" s="279" t="str" cm="1">
        <f t="array" aca="1" ref="C100" ca="1">INDIRECT($F100&amp;C$90&amp;"!"&amp;$G100)</f>
        <v>I.S. EN 14825</v>
      </c>
      <c r="D100" s="279" t="str" cm="1">
        <f t="array" aca="1" ref="D100" ca="1">INDIRECT($F100&amp;D$90&amp;"!"&amp;$G100)</f>
        <v>I.S. EN 14825</v>
      </c>
      <c r="E100" s="293" t="str">
        <f t="shared" ca="1" si="35"/>
        <v>I.S. EN 14825</v>
      </c>
      <c r="F100" s="280" t="str">
        <f t="shared" ca="1" si="36"/>
        <v>HP_</v>
      </c>
      <c r="G100" s="280" t="str">
        <f t="shared" ca="1" si="37"/>
        <v>B14</v>
      </c>
      <c r="H100" s="281" t="str">
        <f t="shared" ca="1" si="38"/>
        <v>HP_1!B14</v>
      </c>
    </row>
    <row r="101" spans="1:8" ht="15.75">
      <c r="A101" s="282" t="str">
        <f>HP_1!A15</f>
        <v>Operation Limit Temperature (TOL)</v>
      </c>
      <c r="B101" s="278" t="str">
        <f>HP_1!B15</f>
        <v xml:space="preserve"> </v>
      </c>
      <c r="C101" s="279" cm="1">
        <f t="array" aca="1" ref="C101" ca="1">INDIRECT($F101&amp;C$90&amp;"!"&amp;$G101)</f>
        <v>0</v>
      </c>
      <c r="D101" s="279" cm="1">
        <f t="array" aca="1" ref="D101" ca="1">INDIRECT($F101&amp;D$90&amp;"!"&amp;$G101)</f>
        <v>0</v>
      </c>
      <c r="E101" s="293">
        <f t="shared" ca="1" si="35"/>
        <v>0</v>
      </c>
      <c r="F101" s="280" t="str">
        <f t="shared" ca="1" si="36"/>
        <v>HP_</v>
      </c>
      <c r="G101" s="280" t="str">
        <f t="shared" ca="1" si="37"/>
        <v>B15</v>
      </c>
      <c r="H101" s="281" t="str">
        <f t="shared" ca="1" si="38"/>
        <v>HP_1!B15</v>
      </c>
    </row>
    <row r="102" spans="1:8" ht="31.5">
      <c r="A102" s="282" t="str">
        <f>HP_1!A16</f>
        <v>Heating water operating limit temperature (WTOL)</v>
      </c>
      <c r="B102" s="278" t="str">
        <f>HP_1!B16</f>
        <v xml:space="preserve"> </v>
      </c>
      <c r="C102" s="279" cm="1">
        <f t="array" aca="1" ref="C102" ca="1">INDIRECT($F102&amp;C$90&amp;"!"&amp;$G102)</f>
        <v>0</v>
      </c>
      <c r="D102" s="279" cm="1">
        <f t="array" aca="1" ref="D102" ca="1">INDIRECT($F102&amp;D$90&amp;"!"&amp;$G102)</f>
        <v>0</v>
      </c>
      <c r="E102" s="293">
        <f t="shared" ca="1" si="35"/>
        <v>0</v>
      </c>
      <c r="F102" s="280" t="str">
        <f t="shared" ca="1" si="36"/>
        <v>HP_</v>
      </c>
      <c r="G102" s="280" t="str">
        <f t="shared" ca="1" si="37"/>
        <v>B16</v>
      </c>
      <c r="H102" s="281" t="str">
        <f t="shared" ca="1" si="38"/>
        <v>HP_1!B16</v>
      </c>
    </row>
    <row r="103" spans="1:8" ht="15.75">
      <c r="A103" s="282" t="str">
        <f>HP_1!A17</f>
        <v>Annual space heating provided by Heat Pump</v>
      </c>
      <c r="B103" s="278">
        <f>HP_1!B17</f>
        <v>0</v>
      </c>
      <c r="C103" s="279" cm="1">
        <f t="array" aca="1" ref="C103" ca="1">INDIRECT($F103&amp;C$90&amp;"!"&amp;$G103)</f>
        <v>0</v>
      </c>
      <c r="D103" s="279" cm="1">
        <f t="array" aca="1" ref="D103" ca="1">INDIRECT($F103&amp;D$90&amp;"!"&amp;$G103)</f>
        <v>0</v>
      </c>
      <c r="E103" s="297">
        <f t="shared" ca="1" si="35"/>
        <v>0</v>
      </c>
      <c r="F103" s="280" t="str">
        <f t="shared" ca="1" si="36"/>
        <v>HP_</v>
      </c>
      <c r="G103" s="280" t="str">
        <f t="shared" ca="1" si="37"/>
        <v>B17</v>
      </c>
      <c r="H103" s="281" t="str">
        <f t="shared" ca="1" si="38"/>
        <v>HP_1!B17</v>
      </c>
    </row>
    <row r="104" spans="1:8" ht="15.75">
      <c r="A104" s="282" t="str">
        <f>HP_1!A18</f>
        <v>Design Outdoor Temperature</v>
      </c>
      <c r="B104" s="581">
        <f>HP_1!B18</f>
        <v>-3</v>
      </c>
      <c r="C104" s="279" cm="1">
        <f t="array" aca="1" ref="C104" ca="1">INDIRECT($F104&amp;C$90&amp;"!"&amp;$G104)</f>
        <v>-3</v>
      </c>
      <c r="D104" s="279" cm="1">
        <f t="array" aca="1" ref="D104" ca="1">INDIRECT($F104&amp;D$90&amp;"!"&amp;$G104)</f>
        <v>-3</v>
      </c>
      <c r="E104" s="293">
        <f t="shared" ca="1" si="35"/>
        <v>-3</v>
      </c>
      <c r="F104" s="280" t="str">
        <f t="shared" ca="1" si="36"/>
        <v>HP_</v>
      </c>
      <c r="G104" s="280" t="str">
        <f t="shared" ca="1" si="37"/>
        <v>B18</v>
      </c>
      <c r="H104" s="281" t="str">
        <f t="shared" ca="1" si="38"/>
        <v>HP_1!B18</v>
      </c>
    </row>
    <row r="105" spans="1:8" ht="31.5">
      <c r="A105" s="282" t="str">
        <f>HP_1!A19</f>
        <v>Indoor Design Temperature (Mean Internal Temperature)</v>
      </c>
      <c r="B105" s="582" t="str">
        <f>HP_1!B19</f>
        <v>Please complete DEAP Entries tab</v>
      </c>
      <c r="C105" s="279" t="str" cm="1">
        <f t="array" aca="1" ref="C105" ca="1">INDIRECT($F105&amp;C$90&amp;"!"&amp;$G105)</f>
        <v>Please complete DEAP Entries tab</v>
      </c>
      <c r="D105" s="279" t="str" cm="1">
        <f t="array" aca="1" ref="D105" ca="1">INDIRECT($F105&amp;D$90&amp;"!"&amp;$G105)</f>
        <v>Please complete DEAP Entries tab</v>
      </c>
      <c r="E105" s="293" t="str">
        <f t="shared" ca="1" si="35"/>
        <v>Please complete DEAP Entries tab</v>
      </c>
      <c r="F105" s="280" t="str">
        <f t="shared" ca="1" si="36"/>
        <v>HP_</v>
      </c>
      <c r="G105" s="280" t="str">
        <f t="shared" ca="1" si="37"/>
        <v>B19</v>
      </c>
      <c r="H105" s="281" t="str">
        <f t="shared" ca="1" si="38"/>
        <v>HP_1!B19</v>
      </c>
    </row>
    <row r="106" spans="1:8" ht="15.75">
      <c r="A106" s="282" t="str">
        <f>HP_1!A24</f>
        <v>Air used as Emitter (to Air Units)</v>
      </c>
      <c r="B106" s="581" t="str">
        <f>HP_1!B24</f>
        <v>No</v>
      </c>
      <c r="C106" s="279" t="str" cm="1">
        <f t="array" aca="1" ref="C106" ca="1">INDIRECT($F106&amp;C$90&amp;"!"&amp;$G106)</f>
        <v>No</v>
      </c>
      <c r="D106" s="279" t="str" cm="1">
        <f t="array" aca="1" ref="D106" ca="1">INDIRECT($F106&amp;D$90&amp;"!"&amp;$G106)</f>
        <v>No</v>
      </c>
      <c r="E106" s="293" t="str">
        <f t="shared" ca="1" si="35"/>
        <v>No</v>
      </c>
      <c r="F106" s="280" t="str">
        <f t="shared" ca="1" si="36"/>
        <v>HP_</v>
      </c>
      <c r="G106" s="280" t="str">
        <f t="shared" ca="1" si="37"/>
        <v>B24</v>
      </c>
      <c r="H106" s="281" t="str">
        <f t="shared" ca="1" si="38"/>
        <v>HP_1!B24</v>
      </c>
    </row>
    <row r="107" spans="1:8" ht="47.25">
      <c r="A107" s="282" t="str">
        <f>HP_1!A25</f>
        <v>Design Flow Temperature
Use "Default Supply Temperature" unless other evidence available</v>
      </c>
      <c r="B107" s="581">
        <f>HP_1!B25</f>
        <v>0</v>
      </c>
      <c r="C107" s="279" cm="1">
        <f t="array" aca="1" ref="C107" ca="1">INDIRECT($F107&amp;C$90&amp;"!"&amp;$G107)</f>
        <v>0</v>
      </c>
      <c r="D107" s="279" cm="1">
        <f t="array" aca="1" ref="D107" ca="1">INDIRECT($F107&amp;D$90&amp;"!"&amp;$G107)</f>
        <v>0</v>
      </c>
      <c r="E107" s="293">
        <f t="shared" ca="1" si="35"/>
        <v>0</v>
      </c>
      <c r="F107" s="280" t="str">
        <f t="shared" ca="1" si="36"/>
        <v>HP_</v>
      </c>
      <c r="G107" s="280" t="str">
        <f t="shared" ca="1" si="37"/>
        <v>B25</v>
      </c>
      <c r="H107" s="281" t="str">
        <f t="shared" ca="1" si="38"/>
        <v>HP_1!B25</v>
      </c>
    </row>
    <row r="108" spans="1:8" ht="31.5">
      <c r="A108" s="282" t="str">
        <f>HP_1!A26</f>
        <v>Exponent n, characterising type of emission system</v>
      </c>
      <c r="B108" s="581">
        <f>HP_1!B26</f>
        <v>1.2</v>
      </c>
      <c r="C108" s="279" cm="1">
        <f t="array" aca="1" ref="C108" ca="1">INDIRECT($F108&amp;C$90&amp;"!"&amp;$G108)</f>
        <v>1.2</v>
      </c>
      <c r="D108" s="279" cm="1">
        <f t="array" aca="1" ref="D108" ca="1">INDIRECT($F108&amp;D$90&amp;"!"&amp;$G108)</f>
        <v>1.2</v>
      </c>
      <c r="E108" s="293">
        <f t="shared" ca="1" si="35"/>
        <v>1.2</v>
      </c>
      <c r="F108" s="280" t="str">
        <f t="shared" ca="1" si="36"/>
        <v>HP_</v>
      </c>
      <c r="G108" s="280" t="str">
        <f t="shared" ca="1" si="37"/>
        <v>B26</v>
      </c>
      <c r="H108" s="281" t="str">
        <f t="shared" ca="1" si="38"/>
        <v>HP_1!B26</v>
      </c>
    </row>
    <row r="109" spans="1:8" ht="15.75">
      <c r="A109" s="282" t="str">
        <f>HP_1!A27</f>
        <v>Emitter Temperature Drop</v>
      </c>
      <c r="B109" s="581">
        <f>HP_1!B27</f>
        <v>10</v>
      </c>
      <c r="C109" s="279" cm="1">
        <f t="array" aca="1" ref="C109" ca="1">INDIRECT($F109&amp;C$90&amp;"!"&amp;$G109)</f>
        <v>10</v>
      </c>
      <c r="D109" s="279" cm="1">
        <f t="array" aca="1" ref="D109" ca="1">INDIRECT($F109&amp;D$90&amp;"!"&amp;$G109)</f>
        <v>10</v>
      </c>
      <c r="E109" s="293">
        <f t="shared" ca="1" si="35"/>
        <v>10</v>
      </c>
      <c r="F109" s="280" t="str">
        <f t="shared" ca="1" si="36"/>
        <v>HP_</v>
      </c>
      <c r="G109" s="280" t="str">
        <f t="shared" ca="1" si="37"/>
        <v>B27</v>
      </c>
      <c r="H109" s="281" t="str">
        <f t="shared" ca="1" si="38"/>
        <v>HP_1!B27</v>
      </c>
    </row>
    <row r="110" spans="1:8" ht="15.75">
      <c r="A110" s="282" t="str">
        <f>HP_1!A28</f>
        <v>Return Temperature at design conditions</v>
      </c>
      <c r="B110" s="581">
        <f>HP_1!B28</f>
        <v>-10</v>
      </c>
      <c r="C110" s="279" cm="1">
        <f t="array" aca="1" ref="C110" ca="1">INDIRECT($F110&amp;C$90&amp;"!"&amp;$G110)</f>
        <v>-10</v>
      </c>
      <c r="D110" s="279" cm="1">
        <f t="array" aca="1" ref="D110" ca="1">INDIRECT($F110&amp;D$90&amp;"!"&amp;$G110)</f>
        <v>-10</v>
      </c>
      <c r="E110" s="293">
        <f t="shared" ca="1" si="35"/>
        <v>-10</v>
      </c>
      <c r="F110" s="280" t="str">
        <f t="shared" ca="1" si="36"/>
        <v>HP_</v>
      </c>
      <c r="G110" s="280" t="str">
        <f t="shared" ca="1" si="37"/>
        <v>B28</v>
      </c>
      <c r="H110" s="281" t="str">
        <f t="shared" ca="1" si="38"/>
        <v>HP_1!B28</v>
      </c>
    </row>
    <row r="111" spans="1:8" ht="15.75">
      <c r="A111" s="282" t="str">
        <f>HP_1!A29</f>
        <v>No of Hrs per Day Heat Pump in Operation</v>
      </c>
      <c r="B111" s="320">
        <f>HP_1!B29</f>
        <v>8</v>
      </c>
      <c r="C111" s="279" cm="1">
        <f t="array" aca="1" ref="C111" ca="1">INDIRECT($F111&amp;C$90&amp;"!"&amp;$G111)</f>
        <v>8</v>
      </c>
      <c r="D111" s="279" cm="1">
        <f t="array" aca="1" ref="D111" ca="1">INDIRECT($F111&amp;D$90&amp;"!"&amp;$G111)</f>
        <v>8</v>
      </c>
      <c r="E111" s="293">
        <f t="shared" ca="1" si="35"/>
        <v>8</v>
      </c>
      <c r="F111" s="280" t="str">
        <f t="shared" ca="1" si="36"/>
        <v>HP_</v>
      </c>
      <c r="G111" s="280" t="str">
        <f t="shared" ca="1" si="37"/>
        <v>B29</v>
      </c>
      <c r="H111" s="281" t="str">
        <f t="shared" ca="1" si="38"/>
        <v>HP_1!B29</v>
      </c>
    </row>
    <row r="112" spans="1:8" ht="15.75">
      <c r="A112" s="282" t="str">
        <f>HP_1!A30</f>
        <v>Cut-out hours</v>
      </c>
      <c r="B112" s="581">
        <f>HP_1!B30</f>
        <v>16</v>
      </c>
      <c r="C112" s="279" cm="1">
        <f t="array" aca="1" ref="C112" ca="1">INDIRECT($F112&amp;C$90&amp;"!"&amp;$G112)</f>
        <v>16</v>
      </c>
      <c r="D112" s="279" cm="1">
        <f t="array" aca="1" ref="D112" ca="1">INDIRECT($F112&amp;D$90&amp;"!"&amp;$G112)</f>
        <v>16</v>
      </c>
      <c r="E112" s="293">
        <f t="shared" ca="1" si="35"/>
        <v>16</v>
      </c>
      <c r="F112" s="280" t="str">
        <f t="shared" ca="1" si="36"/>
        <v>HP_</v>
      </c>
      <c r="G112" s="280" t="str">
        <f t="shared" ca="1" si="37"/>
        <v>B30</v>
      </c>
      <c r="H112" s="281" t="str">
        <f t="shared" ca="1" si="38"/>
        <v>HP_1!B30</v>
      </c>
    </row>
    <row r="113" spans="1:8" ht="15.75">
      <c r="A113" s="282" t="str">
        <f>HP_1!A31</f>
        <v>Heat pump fuel primary energy factor</v>
      </c>
      <c r="B113" s="581">
        <f>HP_1!B31</f>
        <v>1.75</v>
      </c>
      <c r="C113" s="279" cm="1">
        <f t="array" aca="1" ref="C113" ca="1">INDIRECT($F113&amp;C$90&amp;"!"&amp;$G113)</f>
        <v>1.75</v>
      </c>
      <c r="D113" s="279" cm="1">
        <f t="array" aca="1" ref="D113" ca="1">INDIRECT($F113&amp;D$90&amp;"!"&amp;$G113)</f>
        <v>1.75</v>
      </c>
      <c r="E113" s="293">
        <f t="shared" ca="1" si="35"/>
        <v>1.75</v>
      </c>
      <c r="F113" s="280" t="str">
        <f t="shared" ca="1" si="36"/>
        <v>HP_</v>
      </c>
      <c r="G113" s="280" t="str">
        <f t="shared" ca="1" si="37"/>
        <v>B31</v>
      </c>
      <c r="H113" s="281" t="str">
        <f t="shared" ca="1" si="38"/>
        <v>HP_1!B31</v>
      </c>
    </row>
    <row r="114" spans="1:8" ht="31.5">
      <c r="A114" s="282" t="str">
        <f>HP_1!A32</f>
        <v>Is a Back Up Space Heater Present within Dwelling</v>
      </c>
      <c r="B114" s="581" t="str">
        <f>HP_1!B32</f>
        <v>No</v>
      </c>
      <c r="C114" s="279" t="str" cm="1">
        <f t="array" aca="1" ref="C114" ca="1">INDIRECT($F114&amp;C$90&amp;"!"&amp;$G114)</f>
        <v>No</v>
      </c>
      <c r="D114" s="279" t="str" cm="1">
        <f t="array" aca="1" ref="D114" ca="1">INDIRECT($F114&amp;D$90&amp;"!"&amp;$G114)</f>
        <v>No</v>
      </c>
      <c r="E114" s="293" t="str">
        <f t="shared" ca="1" si="35"/>
        <v>No</v>
      </c>
      <c r="F114" s="280" t="str">
        <f t="shared" ca="1" si="36"/>
        <v>HP_</v>
      </c>
      <c r="G114" s="280" t="str">
        <f t="shared" ca="1" si="37"/>
        <v>B32</v>
      </c>
      <c r="H114" s="281" t="str">
        <f t="shared" ca="1" si="38"/>
        <v>HP_1!B32</v>
      </c>
    </row>
    <row r="115" spans="1:8" ht="15.75">
      <c r="A115" s="282" t="str">
        <f>HP_1!A33</f>
        <v>Back Up Space Heater Fuel</v>
      </c>
      <c r="B115" s="581" t="str">
        <f>HP_1!B33</f>
        <v>Electricity</v>
      </c>
      <c r="C115" s="279" t="str" cm="1">
        <f t="array" aca="1" ref="C115" ca="1">INDIRECT($F115&amp;C$90&amp;"!"&amp;$G115)</f>
        <v>Electricity</v>
      </c>
      <c r="D115" s="279" t="str" cm="1">
        <f t="array" aca="1" ref="D115" ca="1">INDIRECT($F115&amp;D$90&amp;"!"&amp;$G115)</f>
        <v>Electricity</v>
      </c>
      <c r="E115" s="293" t="str">
        <f t="shared" ca="1" si="35"/>
        <v>Electricity</v>
      </c>
      <c r="F115" s="280" t="str">
        <f t="shared" ca="1" si="36"/>
        <v>HP_</v>
      </c>
      <c r="G115" s="280" t="str">
        <f t="shared" ca="1" si="37"/>
        <v>B33</v>
      </c>
      <c r="H115" s="281" t="str">
        <f t="shared" ca="1" si="38"/>
        <v>HP_1!B33</v>
      </c>
    </row>
    <row r="116" spans="1:8" ht="15.75">
      <c r="A116" s="282" t="str">
        <f>HP_1!A34</f>
        <v>Primary Energy Factor for Back Up Space Heater</v>
      </c>
      <c r="B116" s="581">
        <f>HP_1!B34</f>
        <v>1.75</v>
      </c>
      <c r="C116" s="279" cm="1">
        <f t="array" aca="1" ref="C116" ca="1">INDIRECT($F116&amp;C$90&amp;"!"&amp;$G116)</f>
        <v>1.75</v>
      </c>
      <c r="D116" s="279" cm="1">
        <f t="array" aca="1" ref="D116" ca="1">INDIRECT($F116&amp;D$90&amp;"!"&amp;$G116)</f>
        <v>1.75</v>
      </c>
      <c r="E116" s="293">
        <f t="shared" ca="1" si="35"/>
        <v>1.75</v>
      </c>
      <c r="F116" s="280" t="str">
        <f t="shared" ca="1" si="36"/>
        <v>HP_</v>
      </c>
      <c r="G116" s="280" t="str">
        <f t="shared" ca="1" si="37"/>
        <v>B34</v>
      </c>
      <c r="H116" s="281" t="str">
        <f t="shared" ca="1" si="38"/>
        <v>HP_1!B34</v>
      </c>
    </row>
    <row r="117" spans="1:8" ht="15.75">
      <c r="A117" s="282" t="str">
        <f>HP_1!A35</f>
        <v>Efficiency of Back up Space Heater</v>
      </c>
      <c r="B117" s="581">
        <f>HP_1!B35</f>
        <v>0</v>
      </c>
      <c r="C117" s="279" cm="1">
        <f t="array" aca="1" ref="C117" ca="1">INDIRECT($F117&amp;C$90&amp;"!"&amp;$G117)</f>
        <v>0</v>
      </c>
      <c r="D117" s="279" cm="1">
        <f t="array" aca="1" ref="D117" ca="1">INDIRECT($F117&amp;D$90&amp;"!"&amp;$G117)</f>
        <v>0</v>
      </c>
      <c r="E117" s="293">
        <f t="shared" ca="1" si="35"/>
        <v>0</v>
      </c>
      <c r="F117" s="280" t="str">
        <f t="shared" ca="1" si="36"/>
        <v>HP_</v>
      </c>
      <c r="G117" s="280" t="str">
        <f t="shared" ca="1" si="37"/>
        <v>B35</v>
      </c>
      <c r="H117" s="281" t="str">
        <f t="shared" ca="1" si="38"/>
        <v>HP_1!B35</v>
      </c>
    </row>
    <row r="118" spans="1:8" ht="31.5">
      <c r="A118" s="282" t="str">
        <f>HP_1!A36</f>
        <v>Adjusted Efficiency of Back up Space Heater relative to fuel used for heat pump</v>
      </c>
      <c r="B118" s="583">
        <f>HP_1!B36</f>
        <v>1</v>
      </c>
      <c r="C118" s="279" cm="1">
        <f t="array" aca="1" ref="C118" ca="1">INDIRECT($F118&amp;C$90&amp;"!"&amp;$G118)</f>
        <v>1</v>
      </c>
      <c r="D118" s="279" cm="1">
        <f t="array" aca="1" ref="D118" ca="1">INDIRECT($F118&amp;D$90&amp;"!"&amp;$G118)</f>
        <v>1</v>
      </c>
      <c r="E118" s="298">
        <f t="shared" ca="1" si="35"/>
        <v>1</v>
      </c>
      <c r="F118" s="280" t="str">
        <f t="shared" ca="1" si="36"/>
        <v>HP_</v>
      </c>
      <c r="G118" s="280" t="str">
        <f t="shared" ca="1" si="37"/>
        <v>B36</v>
      </c>
      <c r="H118" s="281" t="str">
        <f t="shared" ca="1" si="38"/>
        <v>HP_1!B36</v>
      </c>
    </row>
    <row r="119" spans="1:8" ht="30">
      <c r="A119" s="282" t="str">
        <f>HP_1!$AD$1&amp;": temp1"</f>
        <v>Test temps: temp1</v>
      </c>
      <c r="B119" s="581" t="str">
        <f>HP_1!$AD2</f>
        <v>Low Temperature</v>
      </c>
      <c r="C119" s="279" t="str" cm="1">
        <f t="array" aca="1" ref="C119" ca="1">INDIRECT($F119&amp;C$90&amp;"!"&amp;$G119)</f>
        <v>Low Temperature</v>
      </c>
      <c r="D119" s="279" t="str" cm="1">
        <f t="array" aca="1" ref="D119" ca="1">INDIRECT($F119&amp;D$90&amp;"!"&amp;$G119)</f>
        <v>Low Temperature</v>
      </c>
      <c r="E119" s="295" t="str">
        <f t="shared" ca="1" si="35"/>
        <v>Low Temperature</v>
      </c>
      <c r="F119" s="280" t="str">
        <f t="shared" ca="1" si="36"/>
        <v>HP_</v>
      </c>
      <c r="G119" s="280" t="str">
        <f t="shared" ca="1" si="37"/>
        <v>$AD2</v>
      </c>
      <c r="H119" s="281" t="str">
        <f t="shared" ca="1" si="38"/>
        <v>HP_1!$AD2</v>
      </c>
    </row>
    <row r="120" spans="1:8" ht="30">
      <c r="A120" s="282" t="str">
        <f>HP_1!$AD$1&amp;": temp2"</f>
        <v>Test temps: temp2</v>
      </c>
      <c r="B120" s="581" t="str">
        <f>HP_1!$AD3</f>
        <v>Medium Temperature</v>
      </c>
      <c r="C120" s="279" t="str" cm="1">
        <f t="array" aca="1" ref="C120" ca="1">INDIRECT($F120&amp;C$90&amp;"!"&amp;$G120)</f>
        <v>Medium Temperature</v>
      </c>
      <c r="D120" s="279" t="str" cm="1">
        <f t="array" aca="1" ref="D120" ca="1">INDIRECT($F120&amp;D$90&amp;"!"&amp;$G120)</f>
        <v>Medium Temperature</v>
      </c>
      <c r="E120" s="295" t="str">
        <f t="shared" ca="1" si="35"/>
        <v>Medium Temperature</v>
      </c>
      <c r="F120" s="280" t="str">
        <f t="shared" ca="1" si="36"/>
        <v>HP_</v>
      </c>
      <c r="G120" s="280" t="str">
        <f t="shared" ca="1" si="37"/>
        <v>$AD3</v>
      </c>
      <c r="H120" s="281" t="str">
        <f t="shared" ca="1" si="38"/>
        <v>HP_1!$AD3</v>
      </c>
    </row>
    <row r="121" spans="1:8" ht="30">
      <c r="A121" s="282" t="str">
        <f>HP_1!$AD$1&amp;": temp3"</f>
        <v>Test temps: temp3</v>
      </c>
      <c r="B121" s="581" t="str">
        <f>HP_1!$AD4</f>
        <v>High Temperature</v>
      </c>
      <c r="C121" s="279" t="str" cm="1">
        <f t="array" aca="1" ref="C121" ca="1">INDIRECT($F121&amp;C$90&amp;"!"&amp;$G121)</f>
        <v>High Temperature</v>
      </c>
      <c r="D121" s="279" t="str" cm="1">
        <f t="array" aca="1" ref="D121" ca="1">INDIRECT($F121&amp;D$90&amp;"!"&amp;$G121)</f>
        <v>High Temperature</v>
      </c>
      <c r="E121" s="295" t="str">
        <f t="shared" ca="1" si="35"/>
        <v>High Temperature</v>
      </c>
      <c r="F121" s="280" t="str">
        <f t="shared" ca="1" si="36"/>
        <v>HP_</v>
      </c>
      <c r="G121" s="280" t="str">
        <f t="shared" ca="1" si="37"/>
        <v>$AD4</v>
      </c>
      <c r="H121" s="281" t="str">
        <f t="shared" ca="1" si="38"/>
        <v>HP_1!$AD4</v>
      </c>
    </row>
    <row r="122" spans="1:8" ht="30">
      <c r="A122" s="282" t="str">
        <f>HP_1!$AD$1&amp;": temp4"</f>
        <v>Test temps: temp4</v>
      </c>
      <c r="B122" s="581" t="str">
        <f>HP_1!$AD5</f>
        <v>Very high Temperature</v>
      </c>
      <c r="C122" s="279" t="str" cm="1">
        <f t="array" aca="1" ref="C122" ca="1">INDIRECT($F122&amp;C$90&amp;"!"&amp;$G122)</f>
        <v>Very high Temperature</v>
      </c>
      <c r="D122" s="279" t="str" cm="1">
        <f t="array" aca="1" ref="D122" ca="1">INDIRECT($F122&amp;D$90&amp;"!"&amp;$G122)</f>
        <v>Very high Temperature</v>
      </c>
      <c r="E122" s="295" t="str">
        <f t="shared" ca="1" si="35"/>
        <v>Very high Temperature</v>
      </c>
      <c r="F122" s="280" t="str">
        <f t="shared" ca="1" si="36"/>
        <v>HP_</v>
      </c>
      <c r="G122" s="280" t="str">
        <f t="shared" ca="1" si="37"/>
        <v>$AD5</v>
      </c>
      <c r="H122" s="281" t="str">
        <f t="shared" ca="1" si="38"/>
        <v>HP_1!$AD5</v>
      </c>
    </row>
    <row r="123" spans="1:8" ht="15.75">
      <c r="A123" s="282" t="str">
        <f>HP_1!$AE$1&amp;": temp1"</f>
        <v>For HP tab: temp1</v>
      </c>
      <c r="B123" s="581" t="str">
        <f>HP_1!$AE2</f>
        <v>Low</v>
      </c>
      <c r="C123" s="279" t="str" cm="1">
        <f t="array" aca="1" ref="C123" ca="1">INDIRECT($F123&amp;C$90&amp;"!"&amp;$G123)</f>
        <v>Low</v>
      </c>
      <c r="D123" s="279" t="str" cm="1">
        <f t="array" aca="1" ref="D123" ca="1">INDIRECT($F123&amp;D$90&amp;"!"&amp;$G123)</f>
        <v>Low</v>
      </c>
      <c r="E123" s="295" t="str">
        <f t="shared" ca="1" si="35"/>
        <v>Low</v>
      </c>
      <c r="F123" s="280" t="str">
        <f t="shared" ca="1" si="36"/>
        <v>HP_</v>
      </c>
      <c r="G123" s="280" t="str">
        <f t="shared" ca="1" si="37"/>
        <v>$AE2</v>
      </c>
      <c r="H123" s="281" t="str">
        <f t="shared" ca="1" si="38"/>
        <v>HP_1!$AE2</v>
      </c>
    </row>
    <row r="124" spans="1:8" ht="15.75">
      <c r="A124" s="282" t="str">
        <f>HP_1!$AE$1&amp;": temp2"</f>
        <v>For HP tab: temp2</v>
      </c>
      <c r="B124" s="581" t="str">
        <f>HP_1!$AE3</f>
        <v>Medium</v>
      </c>
      <c r="C124" s="279" t="str" cm="1">
        <f t="array" aca="1" ref="C124" ca="1">INDIRECT($F124&amp;C$90&amp;"!"&amp;$G124)</f>
        <v>Medium</v>
      </c>
      <c r="D124" s="279" t="str" cm="1">
        <f t="array" aca="1" ref="D124" ca="1">INDIRECT($F124&amp;D$90&amp;"!"&amp;$G124)</f>
        <v>Medium</v>
      </c>
      <c r="E124" s="295" t="str">
        <f t="shared" ca="1" si="35"/>
        <v>Medium</v>
      </c>
      <c r="F124" s="280" t="str">
        <f t="shared" ca="1" si="36"/>
        <v>HP_</v>
      </c>
      <c r="G124" s="280" t="str">
        <f t="shared" ca="1" si="37"/>
        <v>$AE3</v>
      </c>
      <c r="H124" s="281" t="str">
        <f t="shared" ca="1" si="38"/>
        <v>HP_1!$AE3</v>
      </c>
    </row>
    <row r="125" spans="1:8" ht="15.75">
      <c r="A125" s="282" t="str">
        <f>HP_1!$AE$1&amp;": temp3"</f>
        <v>For HP tab: temp3</v>
      </c>
      <c r="B125" s="581" t="str">
        <f>HP_1!$AE4</f>
        <v>High</v>
      </c>
      <c r="C125" s="279" t="str" cm="1">
        <f t="array" aca="1" ref="C125" ca="1">INDIRECT($F125&amp;C$90&amp;"!"&amp;$G125)</f>
        <v>High</v>
      </c>
      <c r="D125" s="279" t="str" cm="1">
        <f t="array" aca="1" ref="D125" ca="1">INDIRECT($F125&amp;D$90&amp;"!"&amp;$G125)</f>
        <v>High</v>
      </c>
      <c r="E125" s="295" t="str">
        <f t="shared" ca="1" si="35"/>
        <v>High</v>
      </c>
      <c r="F125" s="280" t="str">
        <f t="shared" ca="1" si="36"/>
        <v>HP_</v>
      </c>
      <c r="G125" s="280" t="str">
        <f t="shared" ca="1" si="37"/>
        <v>$AE4</v>
      </c>
      <c r="H125" s="281" t="str">
        <f t="shared" ca="1" si="38"/>
        <v>HP_1!$AE4</v>
      </c>
    </row>
    <row r="126" spans="1:8" ht="15.75">
      <c r="A126" s="282" t="str">
        <f>HP_1!$AE$1&amp;": temp4"</f>
        <v>For HP tab: temp4</v>
      </c>
      <c r="B126" s="581" t="str">
        <f>HP_1!$AE5</f>
        <v>Very high</v>
      </c>
      <c r="C126" s="279" t="str" cm="1">
        <f t="array" aca="1" ref="C126" ca="1">INDIRECT($F126&amp;C$90&amp;"!"&amp;$G126)</f>
        <v>Very high</v>
      </c>
      <c r="D126" s="279" t="str" cm="1">
        <f t="array" aca="1" ref="D126" ca="1">INDIRECT($F126&amp;D$90&amp;"!"&amp;$G126)</f>
        <v>Very high</v>
      </c>
      <c r="E126" s="295" t="str">
        <f t="shared" ca="1" si="35"/>
        <v>Very high</v>
      </c>
      <c r="F126" s="280" t="str">
        <f t="shared" ca="1" si="36"/>
        <v>HP_</v>
      </c>
      <c r="G126" s="280" t="str">
        <f t="shared" ca="1" si="37"/>
        <v>$AE5</v>
      </c>
      <c r="H126" s="281" t="str">
        <f t="shared" ca="1" si="38"/>
        <v>HP_1!$AE5</v>
      </c>
    </row>
    <row r="127" spans="1:8" ht="15.75">
      <c r="A127" s="282" t="str">
        <f>HP_1!B38</f>
        <v>High Temperature</v>
      </c>
      <c r="B127" s="583" t="str">
        <f>HP_1!C38</f>
        <v>Yes</v>
      </c>
      <c r="C127" s="279" t="str" cm="1">
        <f t="array" aca="1" ref="C127" ca="1">INDIRECT($F127&amp;C$90&amp;"!"&amp;$G127)</f>
        <v>Yes</v>
      </c>
      <c r="D127" s="279" t="str" cm="1">
        <f t="array" aca="1" ref="D127" ca="1">INDIRECT($F127&amp;D$90&amp;"!"&amp;$G127)</f>
        <v>Yes</v>
      </c>
      <c r="E127" s="298" t="str">
        <f t="shared" ca="1" si="35"/>
        <v>Yes</v>
      </c>
      <c r="F127" s="280" t="str">
        <f t="shared" ca="1" si="36"/>
        <v>HP_</v>
      </c>
      <c r="G127" s="280" t="str">
        <f t="shared" ca="1" si="37"/>
        <v>C38</v>
      </c>
      <c r="H127" s="281" t="str">
        <f t="shared" ca="1" si="38"/>
        <v>HP_1!C38</v>
      </c>
    </row>
    <row r="128" spans="1:8" ht="15.75">
      <c r="A128" s="282" t="str">
        <f>HP_1!B39</f>
        <v>Low Temperature</v>
      </c>
      <c r="B128" s="583" t="str">
        <f>HP_1!C39</f>
        <v>No</v>
      </c>
      <c r="C128" s="279" t="str" cm="1">
        <f t="array" aca="1" ref="C128" ca="1">INDIRECT($F128&amp;C$90&amp;"!"&amp;$G128)</f>
        <v>No</v>
      </c>
      <c r="D128" s="279" t="str" cm="1">
        <f t="array" aca="1" ref="D128" ca="1">INDIRECT($F128&amp;D$90&amp;"!"&amp;$G128)</f>
        <v>No</v>
      </c>
      <c r="E128" s="293" t="str">
        <f t="shared" ca="1" si="35"/>
        <v>No</v>
      </c>
      <c r="F128" s="280" t="str">
        <f t="shared" ca="1" si="36"/>
        <v>HP_</v>
      </c>
      <c r="G128" s="280" t="str">
        <f t="shared" ca="1" si="37"/>
        <v>C39</v>
      </c>
      <c r="H128" s="281" t="str">
        <f t="shared" ca="1" si="38"/>
        <v>HP_1!C39</v>
      </c>
    </row>
    <row r="129" spans="1:8" ht="15.75">
      <c r="A129" s="282" t="str">
        <f>HP_1!B40</f>
        <v>Medium Temperature</v>
      </c>
      <c r="B129" s="583" t="str">
        <f>HP_1!C40</f>
        <v>No</v>
      </c>
      <c r="C129" s="279" t="str" cm="1">
        <f t="array" aca="1" ref="C129" ca="1">INDIRECT($F129&amp;C$90&amp;"!"&amp;$G129)</f>
        <v>No</v>
      </c>
      <c r="D129" s="279" t="str" cm="1">
        <f t="array" aca="1" ref="D129" ca="1">INDIRECT($F129&amp;D$90&amp;"!"&amp;$G129)</f>
        <v>No</v>
      </c>
      <c r="E129" s="293" t="str">
        <f t="shared" ca="1" si="35"/>
        <v>No</v>
      </c>
      <c r="F129" s="280" t="str">
        <f t="shared" ca="1" si="36"/>
        <v>HP_</v>
      </c>
      <c r="G129" s="280" t="str">
        <f t="shared" ca="1" si="37"/>
        <v>C40</v>
      </c>
      <c r="H129" s="281" t="str">
        <f t="shared" ca="1" si="38"/>
        <v>HP_1!C40</v>
      </c>
    </row>
    <row r="130" spans="1:8" ht="15.75">
      <c r="A130" s="282" t="str">
        <f>HP_1!B41</f>
        <v>Very high Temperature</v>
      </c>
      <c r="B130" s="583" t="str">
        <f>HP_1!C41</f>
        <v>No</v>
      </c>
      <c r="C130" s="279" t="str" cm="1">
        <f t="array" aca="1" ref="C130" ca="1">INDIRECT($F130&amp;C$90&amp;"!"&amp;$G130)</f>
        <v>No</v>
      </c>
      <c r="D130" s="279" t="str" cm="1">
        <f t="array" aca="1" ref="D130" ca="1">INDIRECT($F130&amp;D$90&amp;"!"&amp;$G130)</f>
        <v>No</v>
      </c>
      <c r="E130" s="293" t="str">
        <f t="shared" ca="1" si="35"/>
        <v>No</v>
      </c>
      <c r="F130" s="280" t="str">
        <f t="shared" ca="1" si="36"/>
        <v>HP_</v>
      </c>
      <c r="G130" s="280" t="str">
        <f t="shared" ca="1" si="37"/>
        <v>C41</v>
      </c>
      <c r="H130" s="281" t="str">
        <f t="shared" ca="1" si="38"/>
        <v>HP_1!C41</v>
      </c>
    </row>
    <row r="131" spans="1:8" ht="31.5">
      <c r="A131" s="282" t="str">
        <f>HP_1!B42</f>
        <v>Maximum test temperature allowed for in tests to I.S. EN 14825</v>
      </c>
      <c r="B131" s="584">
        <f>HP_1!C42</f>
        <v>55</v>
      </c>
      <c r="C131" s="279" cm="1">
        <f t="array" aca="1" ref="C131" ca="1">INDIRECT($F131&amp;C$90&amp;"!"&amp;$G131)</f>
        <v>55</v>
      </c>
      <c r="D131" s="279" cm="1">
        <f t="array" aca="1" ref="D131" ca="1">INDIRECT($F131&amp;D$90&amp;"!"&amp;$G131)</f>
        <v>55</v>
      </c>
      <c r="E131" s="293">
        <f t="shared" ca="1" si="35"/>
        <v>55</v>
      </c>
      <c r="F131" s="280" t="str">
        <f t="shared" ca="1" si="36"/>
        <v>HP_</v>
      </c>
      <c r="G131" s="280" t="str">
        <f t="shared" ca="1" si="37"/>
        <v>C42</v>
      </c>
      <c r="H131" s="281" t="str">
        <f t="shared" ca="1" si="38"/>
        <v>HP_1!C42</v>
      </c>
    </row>
    <row r="132" spans="1:8" ht="45">
      <c r="A132" s="282" t="str">
        <f>HP_1!D10</f>
        <v xml:space="preserve">Is this a Low Temperature Heat Pump? </v>
      </c>
      <c r="B132" s="581" t="str">
        <f>HP_1!G10</f>
        <v>Not low temperature heat pump</v>
      </c>
      <c r="C132" s="279" t="str" cm="1">
        <f t="array" aca="1" ref="C132" ca="1">INDIRECT($F132&amp;C$90&amp;"!"&amp;$G132)</f>
        <v>Not low temperature heat pump</v>
      </c>
      <c r="D132" s="279" t="str" cm="1">
        <f t="array" aca="1" ref="D132" ca="1">INDIRECT($F132&amp;D$90&amp;"!"&amp;$G132)</f>
        <v>Not low temperature heat pump</v>
      </c>
      <c r="E132" s="295" t="str">
        <f t="shared" ca="1" si="35"/>
        <v>Not low temperature heat pump</v>
      </c>
      <c r="F132" s="280" t="str">
        <f t="shared" ca="1" si="36"/>
        <v>HP_</v>
      </c>
      <c r="G132" s="280" t="str">
        <f t="shared" ca="1" si="37"/>
        <v>G10</v>
      </c>
      <c r="H132" s="281" t="str">
        <f t="shared" ca="1" si="38"/>
        <v>HP_1!G10</v>
      </c>
    </row>
    <row r="133" spans="1:8" ht="15.75">
      <c r="A133" s="282" t="str">
        <f>HP_1!D11</f>
        <v xml:space="preserve">Is this heat pump electric or gas (GAHP)? </v>
      </c>
      <c r="B133" s="581" t="str">
        <f>HP_1!G11</f>
        <v>Electricity</v>
      </c>
      <c r="C133" s="279" t="str" cm="1">
        <f t="array" aca="1" ref="C133" ca="1">INDIRECT($F133&amp;C$90&amp;"!"&amp;$G133)</f>
        <v>Electricity</v>
      </c>
      <c r="D133" s="279" t="str" cm="1">
        <f t="array" aca="1" ref="D133" ca="1">INDIRECT($F133&amp;D$90&amp;"!"&amp;$G133)</f>
        <v>Electricity</v>
      </c>
      <c r="E133" s="295" t="str">
        <f t="shared" ca="1" si="35"/>
        <v>Electricity</v>
      </c>
      <c r="F133" s="280" t="str">
        <f t="shared" ca="1" si="36"/>
        <v>HP_</v>
      </c>
      <c r="G133" s="280" t="str">
        <f t="shared" ca="1" si="37"/>
        <v>G11</v>
      </c>
      <c r="H133" s="281" t="str">
        <f t="shared" ca="1" si="38"/>
        <v>HP_1!G11</v>
      </c>
    </row>
    <row r="134" spans="1:8" ht="60">
      <c r="A134" s="282" t="str">
        <f>HP_1!D12</f>
        <v>What is the status of this heat pump regarding Ecodesign data?</v>
      </c>
      <c r="B134" s="585" t="str">
        <f>HP_1!G12</f>
        <v>Ecodesign applies and/or ecodesign data available</v>
      </c>
      <c r="C134" s="279" t="str" cm="1">
        <f t="array" aca="1" ref="C134" ca="1">INDIRECT($F134&amp;C$90&amp;"!"&amp;$G134)</f>
        <v>Ecodesign applies and/or ecodesign data available</v>
      </c>
      <c r="D134" s="279" t="str" cm="1">
        <f t="array" aca="1" ref="D134" ca="1">INDIRECT($F134&amp;D$90&amp;"!"&amp;$G134)</f>
        <v>Ecodesign applies and/or ecodesign data available</v>
      </c>
      <c r="E134" s="295" t="str">
        <f t="shared" ca="1" si="35"/>
        <v>Ecodesign applies and/or ecodesign data available</v>
      </c>
      <c r="F134" s="280" t="str">
        <f t="shared" ca="1" si="36"/>
        <v>HP_</v>
      </c>
      <c r="G134" s="280" t="str">
        <f t="shared" ca="1" si="37"/>
        <v>G12</v>
      </c>
      <c r="H134" s="281" t="str">
        <f t="shared" ca="1" si="38"/>
        <v>HP_1!G12</v>
      </c>
    </row>
    <row r="135" spans="1:8" ht="15.75">
      <c r="A135" s="282" t="str">
        <f>HP_1!A69</f>
        <v>Output from Main Water Heater</v>
      </c>
      <c r="B135" s="278">
        <f>HP_1!B69</f>
        <v>0</v>
      </c>
      <c r="C135" s="279" cm="1">
        <f t="array" aca="1" ref="C135" ca="1">INDIRECT($F135&amp;C$90&amp;"!"&amp;$G135)</f>
        <v>0</v>
      </c>
      <c r="D135" s="279" cm="1">
        <f t="array" aca="1" ref="D135" ca="1">INDIRECT($F135&amp;D$90&amp;"!"&amp;$G135)</f>
        <v>0</v>
      </c>
      <c r="E135" s="294">
        <f t="shared" ca="1" si="35"/>
        <v>0</v>
      </c>
      <c r="F135" s="280" t="str">
        <f t="shared" ca="1" si="36"/>
        <v>HP_</v>
      </c>
      <c r="G135" s="280" t="str">
        <f t="shared" ca="1" si="37"/>
        <v>B69</v>
      </c>
      <c r="H135" s="281" t="str">
        <f t="shared" ca="1" si="38"/>
        <v>HP_1!B69</v>
      </c>
    </row>
    <row r="136" spans="1:8" ht="15.75">
      <c r="A136" s="289" t="str">
        <f>HP_1!G111</f>
        <v>Exhaust Air Flow Rate (m3/hr)</v>
      </c>
      <c r="B136" s="278">
        <f>HP_1!G112</f>
        <v>0</v>
      </c>
      <c r="C136" s="279" cm="1">
        <f t="array" aca="1" ref="C136" ca="1">INDIRECT($F136&amp;C$90&amp;"!"&amp;$G136)</f>
        <v>0</v>
      </c>
      <c r="D136" s="279" cm="1">
        <f t="array" aca="1" ref="D136" ca="1">INDIRECT($F136&amp;D$90&amp;"!"&amp;$G136)</f>
        <v>0</v>
      </c>
      <c r="E136" s="293">
        <f t="shared" ca="1" si="35"/>
        <v>0</v>
      </c>
      <c r="F136" s="280" t="str">
        <f t="shared" ca="1" si="36"/>
        <v>HP_</v>
      </c>
      <c r="G136" s="280" t="str">
        <f t="shared" ca="1" si="37"/>
        <v>G112</v>
      </c>
      <c r="H136" s="281" t="str">
        <f t="shared" ca="1" si="38"/>
        <v>HP_1!G112</v>
      </c>
    </row>
    <row r="137" spans="1:8" ht="15.75">
      <c r="A137" s="282" t="str">
        <f>"Cdh placeholder"&amp;A128</f>
        <v>Cdh placeholderLow Temperature</v>
      </c>
      <c r="B137" s="581" t="s">
        <v>585</v>
      </c>
      <c r="C137" s="279" t="e" cm="1">
        <f t="array" aca="1" ref="C137" ca="1">INDIRECT($F137&amp;C$90&amp;"!"&amp;$G137)</f>
        <v>#N/A</v>
      </c>
      <c r="D137" s="279" t="e" cm="1">
        <f t="array" aca="1" ref="D137" ca="1">INDIRECT($F137&amp;D$90&amp;"!"&amp;$G137)</f>
        <v>#N/A</v>
      </c>
      <c r="E137" s="293" t="e">
        <f t="shared" ca="1" si="35"/>
        <v>#N/A</v>
      </c>
      <c r="F137" s="280" t="e">
        <f t="shared" ca="1" si="36"/>
        <v>#N/A</v>
      </c>
      <c r="G137" s="280" t="e">
        <f t="shared" ca="1" si="37"/>
        <v>#N/A</v>
      </c>
      <c r="H137" s="281" t="e">
        <f t="shared" ca="1" si="38"/>
        <v>#N/A</v>
      </c>
    </row>
    <row r="138" spans="1:8" ht="15.75">
      <c r="A138" s="282" t="str">
        <f>"Cdh placeholder"&amp;A129</f>
        <v>Cdh placeholderMedium Temperature</v>
      </c>
      <c r="B138" s="581" t="s">
        <v>585</v>
      </c>
      <c r="C138" s="279" t="e" cm="1">
        <f t="array" aca="1" ref="C138" ca="1">INDIRECT($F138&amp;C$90&amp;"!"&amp;$G138)</f>
        <v>#N/A</v>
      </c>
      <c r="D138" s="279" t="e" cm="1">
        <f t="array" aca="1" ref="D138" ca="1">INDIRECT($F138&amp;D$90&amp;"!"&amp;$G138)</f>
        <v>#N/A</v>
      </c>
      <c r="E138" s="293" t="e">
        <f t="shared" ca="1" si="35"/>
        <v>#N/A</v>
      </c>
      <c r="F138" s="280" t="e">
        <f t="shared" ca="1" si="36"/>
        <v>#N/A</v>
      </c>
      <c r="G138" s="280" t="e">
        <f t="shared" ca="1" si="37"/>
        <v>#N/A</v>
      </c>
      <c r="H138" s="281" t="e">
        <f t="shared" ca="1" si="38"/>
        <v>#N/A</v>
      </c>
    </row>
    <row r="139" spans="1:8" ht="15.75">
      <c r="A139" s="282" t="str">
        <f>"Cdh placeholder"&amp;A127</f>
        <v>Cdh placeholderHigh Temperature</v>
      </c>
      <c r="B139" s="581" t="s">
        <v>585</v>
      </c>
      <c r="C139" s="279" t="e" cm="1">
        <f t="array" aca="1" ref="C139" ca="1">INDIRECT($F139&amp;C$90&amp;"!"&amp;$G139)</f>
        <v>#N/A</v>
      </c>
      <c r="D139" s="279" t="e" cm="1">
        <f t="array" aca="1" ref="D139" ca="1">INDIRECT($F139&amp;D$90&amp;"!"&amp;$G139)</f>
        <v>#N/A</v>
      </c>
      <c r="E139" s="293" t="e">
        <f t="shared" ca="1" si="35"/>
        <v>#N/A</v>
      </c>
      <c r="F139" s="280" t="e">
        <f t="shared" ca="1" si="36"/>
        <v>#N/A</v>
      </c>
      <c r="G139" s="280" t="e">
        <f t="shared" ca="1" si="37"/>
        <v>#N/A</v>
      </c>
      <c r="H139" s="281" t="e">
        <f t="shared" ca="1" si="38"/>
        <v>#N/A</v>
      </c>
    </row>
    <row r="140" spans="1:8" ht="15.75">
      <c r="A140" s="282" t="str">
        <f>"Cdh placeholder"&amp;A130</f>
        <v>Cdh placeholderVery high Temperature</v>
      </c>
      <c r="B140" s="581" t="s">
        <v>585</v>
      </c>
      <c r="C140" s="279" t="e" cm="1">
        <f t="array" aca="1" ref="C140" ca="1">INDIRECT($F140&amp;C$90&amp;"!"&amp;$G140)</f>
        <v>#N/A</v>
      </c>
      <c r="D140" s="279" t="e" cm="1">
        <f t="array" aca="1" ref="D140" ca="1">INDIRECT($F140&amp;D$90&amp;"!"&amp;$G140)</f>
        <v>#N/A</v>
      </c>
      <c r="E140" s="293" t="e">
        <f t="shared" ca="1" si="35"/>
        <v>#N/A</v>
      </c>
      <c r="F140" s="280" t="e">
        <f t="shared" ca="1" si="36"/>
        <v>#N/A</v>
      </c>
      <c r="G140" s="280" t="e">
        <f t="shared" ca="1" si="37"/>
        <v>#N/A</v>
      </c>
      <c r="H140" s="281" t="e">
        <f t="shared" ca="1" si="38"/>
        <v>#N/A</v>
      </c>
    </row>
    <row r="141" spans="1:8" ht="15.75">
      <c r="A141" s="282" t="s">
        <v>585</v>
      </c>
      <c r="B141" s="581" t="s">
        <v>585</v>
      </c>
      <c r="C141" s="279" t="e" cm="1">
        <f t="array" aca="1" ref="C141" ca="1">INDIRECT($F141&amp;C$90&amp;"!"&amp;$G141)</f>
        <v>#N/A</v>
      </c>
      <c r="D141" s="279" t="e" cm="1">
        <f t="array" aca="1" ref="D141" ca="1">INDIRECT($F141&amp;D$90&amp;"!"&amp;$G141)</f>
        <v>#N/A</v>
      </c>
      <c r="E141" s="293" t="e">
        <f t="shared" ca="1" si="35"/>
        <v>#N/A</v>
      </c>
      <c r="F141" s="280" t="e">
        <f t="shared" ca="1" si="36"/>
        <v>#N/A</v>
      </c>
      <c r="G141" s="280" t="e">
        <f t="shared" ca="1" si="37"/>
        <v>#N/A</v>
      </c>
      <c r="H141" s="281" t="e">
        <f t="shared" ca="1" si="38"/>
        <v>#N/A</v>
      </c>
    </row>
    <row r="142" spans="1:8" ht="15.75">
      <c r="A142" s="282" t="s">
        <v>585</v>
      </c>
      <c r="B142" s="581" t="s">
        <v>585</v>
      </c>
      <c r="C142" s="279" t="e" cm="1">
        <f t="array" aca="1" ref="C142" ca="1">INDIRECT($F142&amp;C$90&amp;"!"&amp;$G142)</f>
        <v>#N/A</v>
      </c>
      <c r="D142" s="279" t="e" cm="1">
        <f t="array" aca="1" ref="D142" ca="1">INDIRECT($F142&amp;D$90&amp;"!"&amp;$G142)</f>
        <v>#N/A</v>
      </c>
      <c r="E142" s="293" t="e">
        <f t="shared" ca="1" si="35"/>
        <v>#N/A</v>
      </c>
      <c r="F142" s="280" t="e">
        <f t="shared" ca="1" si="36"/>
        <v>#N/A</v>
      </c>
      <c r="G142" s="280" t="e">
        <f t="shared" ca="1" si="37"/>
        <v>#N/A</v>
      </c>
      <c r="H142" s="281" t="e">
        <f t="shared" ca="1" si="38"/>
        <v>#N/A</v>
      </c>
    </row>
    <row r="143" spans="1:8" ht="15.75">
      <c r="A143" s="282" t="s">
        <v>585</v>
      </c>
      <c r="B143" s="581" t="s">
        <v>585</v>
      </c>
      <c r="C143" s="279" t="e" cm="1">
        <f t="array" aca="1" ref="C143" ca="1">INDIRECT($F143&amp;C$90&amp;"!"&amp;$G143)</f>
        <v>#N/A</v>
      </c>
      <c r="D143" s="279" t="e" cm="1">
        <f t="array" aca="1" ref="D143" ca="1">INDIRECT($F143&amp;D$90&amp;"!"&amp;$G143)</f>
        <v>#N/A</v>
      </c>
      <c r="E143" s="293" t="e">
        <f t="shared" ca="1" si="35"/>
        <v>#N/A</v>
      </c>
      <c r="F143" s="280" t="e">
        <f t="shared" ca="1" si="36"/>
        <v>#N/A</v>
      </c>
      <c r="G143" s="280" t="e">
        <f t="shared" ca="1" si="37"/>
        <v>#N/A</v>
      </c>
      <c r="H143" s="281" t="e">
        <f t="shared" ca="1" si="38"/>
        <v>#N/A</v>
      </c>
    </row>
    <row r="144" spans="1:8" ht="15.75">
      <c r="A144" s="282" t="s">
        <v>585</v>
      </c>
      <c r="B144" s="581" t="s">
        <v>585</v>
      </c>
      <c r="C144" s="279" t="e" cm="1">
        <f t="array" aca="1" ref="C144" ca="1">INDIRECT($F144&amp;C$90&amp;"!"&amp;$G144)</f>
        <v>#N/A</v>
      </c>
      <c r="D144" s="279" t="e" cm="1">
        <f t="array" aca="1" ref="D144" ca="1">INDIRECT($F144&amp;D$90&amp;"!"&amp;$G144)</f>
        <v>#N/A</v>
      </c>
      <c r="E144" s="293" t="e">
        <f t="shared" ca="1" si="35"/>
        <v>#N/A</v>
      </c>
      <c r="F144" s="280" t="e">
        <f t="shared" ca="1" si="36"/>
        <v>#N/A</v>
      </c>
      <c r="G144" s="280" t="e">
        <f t="shared" ca="1" si="37"/>
        <v>#N/A</v>
      </c>
      <c r="H144" s="281" t="e">
        <f t="shared" ca="1" si="38"/>
        <v>#N/A</v>
      </c>
    </row>
    <row r="145" spans="1:37" ht="15.75">
      <c r="A145" s="282" t="s">
        <v>585</v>
      </c>
      <c r="B145" s="581" t="s">
        <v>585</v>
      </c>
      <c r="C145" s="279" t="e" cm="1">
        <f t="array" aca="1" ref="C145" ca="1">INDIRECT($F145&amp;C$90&amp;"!"&amp;$G145)</f>
        <v>#N/A</v>
      </c>
      <c r="D145" s="279" t="e" cm="1">
        <f t="array" aca="1" ref="D145" ca="1">INDIRECT($F145&amp;D$90&amp;"!"&amp;$G145)</f>
        <v>#N/A</v>
      </c>
      <c r="E145" s="293" t="e">
        <f t="shared" ca="1" si="35"/>
        <v>#N/A</v>
      </c>
      <c r="F145" s="280" t="e">
        <f t="shared" ca="1" si="36"/>
        <v>#N/A</v>
      </c>
      <c r="G145" s="280" t="e">
        <f t="shared" ca="1" si="37"/>
        <v>#N/A</v>
      </c>
      <c r="H145" s="281" t="e">
        <f t="shared" ca="1" si="38"/>
        <v>#N/A</v>
      </c>
    </row>
    <row r="146" spans="1:37" ht="15.75">
      <c r="A146" s="282" t="s">
        <v>585</v>
      </c>
      <c r="B146" s="581" t="s">
        <v>585</v>
      </c>
      <c r="C146" s="279" t="e" cm="1">
        <f t="array" aca="1" ref="C146" ca="1">INDIRECT($F146&amp;C$90&amp;"!"&amp;$G146)</f>
        <v>#N/A</v>
      </c>
      <c r="D146" s="279" t="e" cm="1">
        <f t="array" aca="1" ref="D146" ca="1">INDIRECT($F146&amp;D$90&amp;"!"&amp;$G146)</f>
        <v>#N/A</v>
      </c>
      <c r="E146" s="293" t="e">
        <f t="shared" ca="1" si="35"/>
        <v>#N/A</v>
      </c>
      <c r="F146" s="280" t="e">
        <f t="shared" ca="1" si="36"/>
        <v>#N/A</v>
      </c>
      <c r="G146" s="280" t="e">
        <f t="shared" ca="1" si="37"/>
        <v>#N/A</v>
      </c>
      <c r="H146" s="281" t="e">
        <f t="shared" ca="1" si="38"/>
        <v>#N/A</v>
      </c>
    </row>
    <row r="147" spans="1:37" ht="15.75">
      <c r="A147" s="282" t="s">
        <v>585</v>
      </c>
      <c r="B147" s="581" t="s">
        <v>585</v>
      </c>
      <c r="C147" s="279" t="e" cm="1">
        <f t="array" aca="1" ref="C147" ca="1">INDIRECT($F147&amp;C$90&amp;"!"&amp;$G147)</f>
        <v>#N/A</v>
      </c>
      <c r="D147" s="279" t="e" cm="1">
        <f t="array" aca="1" ref="D147" ca="1">INDIRECT($F147&amp;D$90&amp;"!"&amp;$G147)</f>
        <v>#N/A</v>
      </c>
      <c r="E147" s="293" t="e">
        <f t="shared" ca="1" si="35"/>
        <v>#N/A</v>
      </c>
      <c r="F147" s="280" t="e">
        <f t="shared" ca="1" si="36"/>
        <v>#N/A</v>
      </c>
      <c r="G147" s="280" t="e">
        <f t="shared" ca="1" si="37"/>
        <v>#N/A</v>
      </c>
      <c r="H147" s="281" t="e">
        <f t="shared" ca="1" si="38"/>
        <v>#N/A</v>
      </c>
    </row>
    <row r="148" spans="1:37" ht="15.75">
      <c r="A148" s="282" t="s">
        <v>585</v>
      </c>
      <c r="B148" s="581" t="s">
        <v>585</v>
      </c>
      <c r="C148" s="279" t="e" cm="1">
        <f t="array" aca="1" ref="C148" ca="1">INDIRECT($F148&amp;C$90&amp;"!"&amp;$G148)</f>
        <v>#N/A</v>
      </c>
      <c r="D148" s="279" t="e" cm="1">
        <f t="array" aca="1" ref="D148" ca="1">INDIRECT($F148&amp;D$90&amp;"!"&amp;$G148)</f>
        <v>#N/A</v>
      </c>
      <c r="E148" s="293" t="e">
        <f t="shared" ca="1" si="35"/>
        <v>#N/A</v>
      </c>
      <c r="F148" s="280" t="e">
        <f t="shared" ca="1" si="36"/>
        <v>#N/A</v>
      </c>
      <c r="G148" s="280" t="e">
        <f t="shared" ca="1" si="37"/>
        <v>#N/A</v>
      </c>
      <c r="H148" s="281" t="e">
        <f t="shared" ca="1" si="38"/>
        <v>#N/A</v>
      </c>
    </row>
    <row r="149" spans="1:37" ht="15.75">
      <c r="A149" s="282" t="s">
        <v>585</v>
      </c>
      <c r="B149" s="581" t="s">
        <v>585</v>
      </c>
      <c r="C149" s="279" t="e" cm="1">
        <f t="array" aca="1" ref="C149" ca="1">INDIRECT($F149&amp;C$90&amp;"!"&amp;$G149)</f>
        <v>#N/A</v>
      </c>
      <c r="D149" s="279" t="e" cm="1">
        <f t="array" aca="1" ref="D149" ca="1">INDIRECT($F149&amp;D$90&amp;"!"&amp;$G149)</f>
        <v>#N/A</v>
      </c>
      <c r="E149" s="293" t="e">
        <f t="shared" ca="1" si="35"/>
        <v>#N/A</v>
      </c>
      <c r="F149" s="280" t="e">
        <f t="shared" ca="1" si="36"/>
        <v>#N/A</v>
      </c>
      <c r="G149" s="280" t="e">
        <f t="shared" ca="1" si="37"/>
        <v>#N/A</v>
      </c>
      <c r="H149" s="281" t="e">
        <f t="shared" ca="1" si="38"/>
        <v>#N/A</v>
      </c>
    </row>
    <row r="150" spans="1:37" ht="16.5" thickBot="1">
      <c r="A150" s="290" t="s">
        <v>585</v>
      </c>
      <c r="B150" s="586" t="s">
        <v>585</v>
      </c>
      <c r="C150" s="587" t="e" cm="1">
        <f t="array" aca="1" ref="C150" ca="1">INDIRECT($F150&amp;C$90&amp;"!"&amp;$G150)</f>
        <v>#N/A</v>
      </c>
      <c r="D150" s="587" t="e" cm="1">
        <f t="array" aca="1" ref="D150" ca="1">INDIRECT($F150&amp;D$90&amp;"!"&amp;$G150)</f>
        <v>#N/A</v>
      </c>
      <c r="E150" s="299" t="e">
        <f t="shared" ca="1" si="35"/>
        <v>#N/A</v>
      </c>
      <c r="F150" s="588" t="e">
        <f t="shared" ca="1" si="36"/>
        <v>#N/A</v>
      </c>
      <c r="G150" s="588" t="e">
        <f t="shared" ca="1" si="37"/>
        <v>#N/A</v>
      </c>
      <c r="H150" s="589" t="e">
        <f t="shared" ca="1" si="38"/>
        <v>#N/A</v>
      </c>
    </row>
    <row r="151" spans="1:37" ht="15.75">
      <c r="A151" s="590"/>
      <c r="B151" s="591" t="s">
        <v>586</v>
      </c>
      <c r="C151" s="592" t="s">
        <v>434</v>
      </c>
      <c r="D151" s="593" t="s">
        <v>434</v>
      </c>
      <c r="E151" s="593" t="s">
        <v>434</v>
      </c>
      <c r="F151" s="593" t="s">
        <v>434</v>
      </c>
      <c r="G151" s="594" t="s">
        <v>434</v>
      </c>
      <c r="H151" s="592">
        <v>1</v>
      </c>
      <c r="I151" s="593">
        <v>1</v>
      </c>
      <c r="J151" s="593">
        <v>1</v>
      </c>
      <c r="K151" s="593">
        <v>1</v>
      </c>
      <c r="L151" s="594">
        <v>1</v>
      </c>
      <c r="M151" s="592">
        <f>H151+1</f>
        <v>2</v>
      </c>
      <c r="N151" s="593">
        <f t="shared" ref="N151:Q151" si="39">I151+1</f>
        <v>2</v>
      </c>
      <c r="O151" s="593">
        <f t="shared" si="39"/>
        <v>2</v>
      </c>
      <c r="P151" s="593">
        <f t="shared" si="39"/>
        <v>2</v>
      </c>
      <c r="Q151" s="594">
        <f t="shared" si="39"/>
        <v>2</v>
      </c>
      <c r="R151" s="592">
        <f>M151+1</f>
        <v>3</v>
      </c>
      <c r="S151" s="593">
        <f t="shared" ref="S151:V151" si="40">N151+1</f>
        <v>3</v>
      </c>
      <c r="T151" s="593">
        <f t="shared" si="40"/>
        <v>3</v>
      </c>
      <c r="U151" s="593">
        <f t="shared" si="40"/>
        <v>3</v>
      </c>
      <c r="V151" s="595">
        <f t="shared" si="40"/>
        <v>3</v>
      </c>
      <c r="W151" s="720" t="str">
        <f>H90</f>
        <v>Heat pump 1 source cell name as text</v>
      </c>
      <c r="X151" s="721"/>
      <c r="Y151" s="721"/>
      <c r="Z151" s="721"/>
      <c r="AA151" s="722"/>
      <c r="AB151" s="723" t="str">
        <f>F90</f>
        <v>Tab</v>
      </c>
      <c r="AC151" s="724"/>
      <c r="AD151" s="724"/>
      <c r="AE151" s="724"/>
      <c r="AF151" s="725"/>
      <c r="AG151" s="723" t="str">
        <f>G90</f>
        <v>Cell (everything to the right of the tab name)</v>
      </c>
      <c r="AH151" s="724"/>
      <c r="AI151" s="724"/>
      <c r="AJ151" s="724"/>
      <c r="AK151" s="726"/>
    </row>
    <row r="152" spans="1:37" ht="15.75">
      <c r="A152" s="596"/>
      <c r="B152" s="597" t="s">
        <v>587</v>
      </c>
      <c r="C152" s="598" t="s">
        <v>506</v>
      </c>
      <c r="D152" s="599" t="s">
        <v>507</v>
      </c>
      <c r="E152" s="599" t="s">
        <v>508</v>
      </c>
      <c r="F152" s="599" t="s">
        <v>509</v>
      </c>
      <c r="G152" s="600" t="s">
        <v>505</v>
      </c>
      <c r="H152" s="598" t="s">
        <v>506</v>
      </c>
      <c r="I152" s="599" t="s">
        <v>507</v>
      </c>
      <c r="J152" s="599" t="s">
        <v>508</v>
      </c>
      <c r="K152" s="599" t="s">
        <v>509</v>
      </c>
      <c r="L152" s="600" t="s">
        <v>505</v>
      </c>
      <c r="M152" s="598" t="s">
        <v>506</v>
      </c>
      <c r="N152" s="599" t="s">
        <v>507</v>
      </c>
      <c r="O152" s="599" t="s">
        <v>508</v>
      </c>
      <c r="P152" s="599" t="s">
        <v>509</v>
      </c>
      <c r="Q152" s="600" t="s">
        <v>505</v>
      </c>
      <c r="R152" s="598" t="s">
        <v>506</v>
      </c>
      <c r="S152" s="599" t="s">
        <v>507</v>
      </c>
      <c r="T152" s="599" t="s">
        <v>508</v>
      </c>
      <c r="U152" s="599" t="s">
        <v>509</v>
      </c>
      <c r="V152" s="601" t="s">
        <v>505</v>
      </c>
      <c r="W152" s="598" t="s">
        <v>506</v>
      </c>
      <c r="X152" s="599" t="s">
        <v>507</v>
      </c>
      <c r="Y152" s="599" t="s">
        <v>508</v>
      </c>
      <c r="Z152" s="599" t="s">
        <v>509</v>
      </c>
      <c r="AA152" s="601" t="s">
        <v>505</v>
      </c>
      <c r="AB152" s="598" t="s">
        <v>506</v>
      </c>
      <c r="AC152" s="599" t="s">
        <v>507</v>
      </c>
      <c r="AD152" s="599" t="s">
        <v>508</v>
      </c>
      <c r="AE152" s="599" t="s">
        <v>509</v>
      </c>
      <c r="AF152" s="601" t="s">
        <v>505</v>
      </c>
      <c r="AG152" s="598" t="s">
        <v>506</v>
      </c>
      <c r="AH152" s="599" t="s">
        <v>507</v>
      </c>
      <c r="AI152" s="599" t="s">
        <v>508</v>
      </c>
      <c r="AJ152" s="599" t="s">
        <v>509</v>
      </c>
      <c r="AK152" s="600" t="s">
        <v>505</v>
      </c>
    </row>
    <row r="153" spans="1:37" ht="16.5" thickBot="1">
      <c r="A153" s="602" t="s">
        <v>588</v>
      </c>
      <c r="B153" s="597" t="str">
        <f>B151&amp;B152&amp;"-&gt;"</f>
        <v>HP identifier:Bin-&gt;</v>
      </c>
      <c r="C153" s="603" t="str">
        <f>$K$1&amp;C152</f>
        <v>2A</v>
      </c>
      <c r="D153" s="604" t="str">
        <f>$K$1&amp;D152</f>
        <v>2B</v>
      </c>
      <c r="E153" s="604" t="str">
        <f>$K$1&amp;E152</f>
        <v>2C</v>
      </c>
      <c r="F153" s="604" t="str">
        <f>$K$1&amp;F152</f>
        <v>2D</v>
      </c>
      <c r="G153" s="605" t="str">
        <f>$K$1&amp;G152</f>
        <v>2E</v>
      </c>
      <c r="H153" s="603" t="str">
        <f t="shared" ref="H153:V153" si="41">H151&amp;H152</f>
        <v>1A</v>
      </c>
      <c r="I153" s="604" t="str">
        <f t="shared" si="41"/>
        <v>1B</v>
      </c>
      <c r="J153" s="604" t="str">
        <f t="shared" si="41"/>
        <v>1C</v>
      </c>
      <c r="K153" s="604" t="str">
        <f t="shared" si="41"/>
        <v>1D</v>
      </c>
      <c r="L153" s="605" t="str">
        <f t="shared" si="41"/>
        <v>1E</v>
      </c>
      <c r="M153" s="603" t="str">
        <f t="shared" si="41"/>
        <v>2A</v>
      </c>
      <c r="N153" s="604" t="str">
        <f t="shared" si="41"/>
        <v>2B</v>
      </c>
      <c r="O153" s="604" t="str">
        <f t="shared" si="41"/>
        <v>2C</v>
      </c>
      <c r="P153" s="604" t="str">
        <f t="shared" si="41"/>
        <v>2D</v>
      </c>
      <c r="Q153" s="605" t="str">
        <f t="shared" si="41"/>
        <v>2E</v>
      </c>
      <c r="R153" s="603" t="str">
        <f t="shared" si="41"/>
        <v>3A</v>
      </c>
      <c r="S153" s="604" t="str">
        <f t="shared" si="41"/>
        <v>3B</v>
      </c>
      <c r="T153" s="604" t="str">
        <f t="shared" si="41"/>
        <v>3C</v>
      </c>
      <c r="U153" s="604" t="str">
        <f t="shared" si="41"/>
        <v>3D</v>
      </c>
      <c r="V153" s="606" t="str">
        <f t="shared" si="41"/>
        <v>3E</v>
      </c>
      <c r="W153" s="603"/>
      <c r="X153" s="604"/>
      <c r="Y153" s="604"/>
      <c r="Z153" s="604"/>
      <c r="AA153" s="606"/>
      <c r="AB153" s="603"/>
      <c r="AC153" s="604"/>
      <c r="AD153" s="604"/>
      <c r="AE153" s="604"/>
      <c r="AF153" s="606"/>
      <c r="AG153" s="603"/>
      <c r="AH153" s="604"/>
      <c r="AI153" s="604"/>
      <c r="AJ153" s="604"/>
      <c r="AK153" s="605"/>
    </row>
    <row r="154" spans="1:37">
      <c r="A154" s="607" t="str">
        <f t="shared" ref="A154:A161" ca="1" si="42">A19</f>
        <v>Low Temperature COP  (kW/kW)</v>
      </c>
      <c r="B154" s="608">
        <f ca="1">IF(E128="Yes",1,0)</f>
        <v>0</v>
      </c>
      <c r="C154" s="609">
        <f ca="1">$B154*INDEX($H154:$V154,1,MATCH(C$153,$H$153:$V$153,0))</f>
        <v>0</v>
      </c>
      <c r="D154" s="610">
        <f t="shared" ref="D154:G161" ca="1" si="43">$B154*INDEX($H154:$V154,1,MATCH(D$153,$H$153:$V$153,0))</f>
        <v>0</v>
      </c>
      <c r="E154" s="610">
        <f t="shared" ca="1" si="43"/>
        <v>0</v>
      </c>
      <c r="F154" s="610">
        <f t="shared" ca="1" si="43"/>
        <v>0</v>
      </c>
      <c r="G154" s="611">
        <f t="shared" ca="1" si="43"/>
        <v>0</v>
      </c>
      <c r="H154" s="612">
        <f>HP_1!C47</f>
        <v>0</v>
      </c>
      <c r="I154" s="613">
        <f>HP_1!D47</f>
        <v>0</v>
      </c>
      <c r="J154" s="613">
        <f>HP_1!E47</f>
        <v>0</v>
      </c>
      <c r="K154" s="613">
        <f>HP_1!F47</f>
        <v>0</v>
      </c>
      <c r="L154" s="614">
        <f>HP_1!G47</f>
        <v>0</v>
      </c>
      <c r="M154" s="609" cm="1">
        <f t="array" aca="1" ref="M154" ca="1">INDIRECT(AB154&amp;M$151&amp;"!"&amp;AG154)</f>
        <v>0</v>
      </c>
      <c r="N154" s="610" cm="1">
        <f t="array" aca="1" ref="N154" ca="1">INDIRECT(AC154&amp;N$151&amp;"!"&amp;AH154)</f>
        <v>0</v>
      </c>
      <c r="O154" s="610" cm="1">
        <f t="array" aca="1" ref="O154" ca="1">INDIRECT(AD154&amp;O$151&amp;"!"&amp;AI154)</f>
        <v>0</v>
      </c>
      <c r="P154" s="610" cm="1">
        <f t="array" aca="1" ref="P154" ca="1">INDIRECT(AE154&amp;P$151&amp;"!"&amp;AJ154)</f>
        <v>0</v>
      </c>
      <c r="Q154" s="611" cm="1">
        <f t="array" aca="1" ref="Q154" ca="1">INDIRECT(AF154&amp;Q$151&amp;"!"&amp;AK154)</f>
        <v>0</v>
      </c>
      <c r="R154" s="609" cm="1">
        <f t="array" aca="1" ref="R154" ca="1">INDIRECT(AB154&amp;R$151&amp;"!"&amp;AG154)</f>
        <v>0</v>
      </c>
      <c r="S154" s="610" cm="1">
        <f t="array" aca="1" ref="S154" ca="1">INDIRECT(AC154&amp;S$151&amp;"!"&amp;AH154)</f>
        <v>0</v>
      </c>
      <c r="T154" s="610" cm="1">
        <f t="array" aca="1" ref="T154" ca="1">INDIRECT(AD154&amp;T$151&amp;"!"&amp;AI154)</f>
        <v>0</v>
      </c>
      <c r="U154" s="610" cm="1">
        <f t="array" aca="1" ref="U154" ca="1">INDIRECT(AE154&amp;U$151&amp;"!"&amp;AJ154)</f>
        <v>0</v>
      </c>
      <c r="V154" s="615" cm="1">
        <f t="array" aca="1" ref="V154" ca="1">INDIRECT(AF154&amp;V$151&amp;"!"&amp;AK154)</f>
        <v>0</v>
      </c>
      <c r="W154" s="616" t="str">
        <f ca="1">SUBSTITUTE( _xlfn.FORMULATEXT(H154),"=","")</f>
        <v>HP_1!C47</v>
      </c>
      <c r="X154" s="617" t="str">
        <f ca="1">SUBSTITUTE( _xlfn.FORMULATEXT(I154),"=","")</f>
        <v>HP_1!D47</v>
      </c>
      <c r="Y154" s="617" t="str">
        <f ca="1">SUBSTITUTE( _xlfn.FORMULATEXT(J154),"=","")</f>
        <v>HP_1!E47</v>
      </c>
      <c r="Z154" s="617" t="str">
        <f ca="1">SUBSTITUTE( _xlfn.FORMULATEXT(K154),"=","")</f>
        <v>HP_1!F47</v>
      </c>
      <c r="AA154" s="618" t="str">
        <f ca="1">SUBSTITUTE( _xlfn.FORMULATEXT(L154),"=","")</f>
        <v>HP_1!G47</v>
      </c>
      <c r="AB154" s="616" t="str">
        <f ca="1">LEFT(W154,FIND("1",W154)-1)</f>
        <v>HP_</v>
      </c>
      <c r="AC154" s="617" t="str">
        <f ca="1">LEFT(X154,FIND("1",X154)-1)</f>
        <v>HP_</v>
      </c>
      <c r="AD154" s="617" t="str">
        <f ca="1">LEFT(Y154,FIND("1",Y154)-1)</f>
        <v>HP_</v>
      </c>
      <c r="AE154" s="617" t="str">
        <f ca="1">LEFT(Z154,FIND("1",Z154)-1)</f>
        <v>HP_</v>
      </c>
      <c r="AF154" s="618" t="str">
        <f ca="1">LEFT(AA154,FIND("1",AA154)-1)</f>
        <v>HP_</v>
      </c>
      <c r="AG154" s="616" t="str">
        <f ca="1">RIGHT(W154,LEN(W154)-FIND("!",W154))</f>
        <v>C47</v>
      </c>
      <c r="AH154" s="617" t="str">
        <f ca="1">RIGHT(X154,LEN(X154)-FIND("!",X154))</f>
        <v>D47</v>
      </c>
      <c r="AI154" s="617" t="str">
        <f ca="1">RIGHT(Y154,LEN(Y154)-FIND("!",Y154))</f>
        <v>E47</v>
      </c>
      <c r="AJ154" s="617" t="str">
        <f ca="1">RIGHT(Z154,LEN(Z154)-FIND("!",Z154))</f>
        <v>F47</v>
      </c>
      <c r="AK154" s="619" t="str">
        <f ca="1">RIGHT(AA154,LEN(AA154)-FIND("!",AA154))</f>
        <v>G47</v>
      </c>
    </row>
    <row r="155" spans="1:37">
      <c r="A155" s="607" t="str">
        <f t="shared" ca="1" si="42"/>
        <v>Medium Temperature COP  (kW/kW)</v>
      </c>
      <c r="B155" s="608">
        <f ca="1">IF(E129="Yes",1,0)</f>
        <v>0</v>
      </c>
      <c r="C155" s="620">
        <f t="shared" ref="C155:C161" ca="1" si="44">$B155*INDEX($H155:$V155,1,MATCH(C$153,$H$153:$V$153,0))</f>
        <v>0</v>
      </c>
      <c r="D155" s="621">
        <f t="shared" ca="1" si="43"/>
        <v>0</v>
      </c>
      <c r="E155" s="621">
        <f t="shared" ca="1" si="43"/>
        <v>0</v>
      </c>
      <c r="F155" s="621">
        <f t="shared" ca="1" si="43"/>
        <v>0</v>
      </c>
      <c r="G155" s="622">
        <f t="shared" ca="1" si="43"/>
        <v>0</v>
      </c>
      <c r="H155" s="623">
        <f>HP_1!C51</f>
        <v>0</v>
      </c>
      <c r="I155" s="624">
        <f>HP_1!D51</f>
        <v>0</v>
      </c>
      <c r="J155" s="624">
        <f>HP_1!E51</f>
        <v>0</v>
      </c>
      <c r="K155" s="624">
        <f>HP_1!F51</f>
        <v>0</v>
      </c>
      <c r="L155" s="625">
        <f>HP_1!G51</f>
        <v>0</v>
      </c>
      <c r="M155" s="620" cm="1">
        <f t="array" aca="1" ref="M155" ca="1">INDIRECT(AB155&amp;M$151&amp;"!"&amp;AG155)</f>
        <v>0</v>
      </c>
      <c r="N155" s="621" cm="1">
        <f t="array" aca="1" ref="N155" ca="1">INDIRECT(AC155&amp;N$151&amp;"!"&amp;AH155)</f>
        <v>0</v>
      </c>
      <c r="O155" s="621" cm="1">
        <f t="array" aca="1" ref="O155" ca="1">INDIRECT(AD155&amp;O$151&amp;"!"&amp;AI155)</f>
        <v>0</v>
      </c>
      <c r="P155" s="621" cm="1">
        <f t="array" aca="1" ref="P155" ca="1">INDIRECT(AE155&amp;P$151&amp;"!"&amp;AJ155)</f>
        <v>0</v>
      </c>
      <c r="Q155" s="622" cm="1">
        <f t="array" aca="1" ref="Q155" ca="1">INDIRECT(AF155&amp;Q$151&amp;"!"&amp;AK155)</f>
        <v>0</v>
      </c>
      <c r="R155" s="620" cm="1">
        <f t="array" aca="1" ref="R155" ca="1">INDIRECT(AB155&amp;R$151&amp;"!"&amp;AG155)</f>
        <v>0</v>
      </c>
      <c r="S155" s="621" cm="1">
        <f t="array" aca="1" ref="S155" ca="1">INDIRECT(AC155&amp;S$151&amp;"!"&amp;AH155)</f>
        <v>0</v>
      </c>
      <c r="T155" s="621" cm="1">
        <f t="array" aca="1" ref="T155" ca="1">INDIRECT(AD155&amp;T$151&amp;"!"&amp;AI155)</f>
        <v>0</v>
      </c>
      <c r="U155" s="621" cm="1">
        <f t="array" aca="1" ref="U155" ca="1">INDIRECT(AE155&amp;U$151&amp;"!"&amp;AJ155)</f>
        <v>0</v>
      </c>
      <c r="V155" s="626" cm="1">
        <f t="array" aca="1" ref="V155" ca="1">INDIRECT(AF155&amp;V$151&amp;"!"&amp;AK155)</f>
        <v>0</v>
      </c>
      <c r="W155" s="627" t="str">
        <f t="shared" ref="W155:AA161" ca="1" si="45">SUBSTITUTE( _xlfn.FORMULATEXT(H155),"=","")</f>
        <v>HP_1!C51</v>
      </c>
      <c r="X155" s="628" t="str">
        <f t="shared" ca="1" si="45"/>
        <v>HP_1!D51</v>
      </c>
      <c r="Y155" s="628" t="str">
        <f t="shared" ca="1" si="45"/>
        <v>HP_1!E51</v>
      </c>
      <c r="Z155" s="628" t="str">
        <f t="shared" ca="1" si="45"/>
        <v>HP_1!F51</v>
      </c>
      <c r="AA155" s="629" t="str">
        <f t="shared" ca="1" si="45"/>
        <v>HP_1!G51</v>
      </c>
      <c r="AB155" s="627" t="str">
        <f t="shared" ref="AB155:AF161" ca="1" si="46">LEFT(W155,FIND("1",W155)-1)</f>
        <v>HP_</v>
      </c>
      <c r="AC155" s="628" t="str">
        <f t="shared" ca="1" si="46"/>
        <v>HP_</v>
      </c>
      <c r="AD155" s="628" t="str">
        <f t="shared" ca="1" si="46"/>
        <v>HP_</v>
      </c>
      <c r="AE155" s="628" t="str">
        <f t="shared" ca="1" si="46"/>
        <v>HP_</v>
      </c>
      <c r="AF155" s="629" t="str">
        <f t="shared" ca="1" si="46"/>
        <v>HP_</v>
      </c>
      <c r="AG155" s="627" t="str">
        <f t="shared" ref="AG155:AK161" ca="1" si="47">RIGHT(W155,LEN(W155)-FIND("!",W155))</f>
        <v>C51</v>
      </c>
      <c r="AH155" s="628" t="str">
        <f t="shared" ca="1" si="47"/>
        <v>D51</v>
      </c>
      <c r="AI155" s="628" t="str">
        <f t="shared" ca="1" si="47"/>
        <v>E51</v>
      </c>
      <c r="AJ155" s="628" t="str">
        <f t="shared" ca="1" si="47"/>
        <v>F51</v>
      </c>
      <c r="AK155" s="630" t="str">
        <f t="shared" ca="1" si="47"/>
        <v>G51</v>
      </c>
    </row>
    <row r="156" spans="1:37">
      <c r="A156" s="607" t="str">
        <f t="shared" ca="1" si="42"/>
        <v>High Temperature COP  (kW/kW)</v>
      </c>
      <c r="B156" s="608">
        <f ca="1">IF(E127="Yes",1,0)</f>
        <v>1</v>
      </c>
      <c r="C156" s="620">
        <f t="shared" ca="1" si="44"/>
        <v>0</v>
      </c>
      <c r="D156" s="621">
        <f t="shared" ca="1" si="43"/>
        <v>0</v>
      </c>
      <c r="E156" s="621">
        <f t="shared" ca="1" si="43"/>
        <v>0</v>
      </c>
      <c r="F156" s="621">
        <f t="shared" ca="1" si="43"/>
        <v>0</v>
      </c>
      <c r="G156" s="622">
        <f t="shared" ca="1" si="43"/>
        <v>0</v>
      </c>
      <c r="H156" s="623">
        <f>HP_1!C55</f>
        <v>0</v>
      </c>
      <c r="I156" s="624">
        <f>HP_1!D55</f>
        <v>0</v>
      </c>
      <c r="J156" s="624">
        <f>HP_1!E55</f>
        <v>0</v>
      </c>
      <c r="K156" s="624">
        <f>HP_1!F55</f>
        <v>0</v>
      </c>
      <c r="L156" s="625">
        <f>HP_1!G55</f>
        <v>0</v>
      </c>
      <c r="M156" s="620" cm="1">
        <f t="array" aca="1" ref="M156" ca="1">INDIRECT(AB156&amp;M$151&amp;"!"&amp;AG156)</f>
        <v>0</v>
      </c>
      <c r="N156" s="621" cm="1">
        <f t="array" aca="1" ref="N156" ca="1">INDIRECT(AC156&amp;N$151&amp;"!"&amp;AH156)</f>
        <v>0</v>
      </c>
      <c r="O156" s="621" cm="1">
        <f t="array" aca="1" ref="O156" ca="1">INDIRECT(AD156&amp;O$151&amp;"!"&amp;AI156)</f>
        <v>0</v>
      </c>
      <c r="P156" s="621" cm="1">
        <f t="array" aca="1" ref="P156" ca="1">INDIRECT(AE156&amp;P$151&amp;"!"&amp;AJ156)</f>
        <v>0</v>
      </c>
      <c r="Q156" s="622" cm="1">
        <f t="array" aca="1" ref="Q156" ca="1">INDIRECT(AF156&amp;Q$151&amp;"!"&amp;AK156)</f>
        <v>0</v>
      </c>
      <c r="R156" s="620" cm="1">
        <f t="array" aca="1" ref="R156" ca="1">INDIRECT(AB156&amp;R$151&amp;"!"&amp;AG156)</f>
        <v>0</v>
      </c>
      <c r="S156" s="621" cm="1">
        <f t="array" aca="1" ref="S156" ca="1">INDIRECT(AC156&amp;S$151&amp;"!"&amp;AH156)</f>
        <v>0</v>
      </c>
      <c r="T156" s="621" cm="1">
        <f t="array" aca="1" ref="T156" ca="1">INDIRECT(AD156&amp;T$151&amp;"!"&amp;AI156)</f>
        <v>0</v>
      </c>
      <c r="U156" s="621" cm="1">
        <f t="array" aca="1" ref="U156" ca="1">INDIRECT(AE156&amp;U$151&amp;"!"&amp;AJ156)</f>
        <v>0</v>
      </c>
      <c r="V156" s="626" cm="1">
        <f t="array" aca="1" ref="V156" ca="1">INDIRECT(AF156&amp;V$151&amp;"!"&amp;AK156)</f>
        <v>0</v>
      </c>
      <c r="W156" s="627" t="str">
        <f t="shared" ca="1" si="45"/>
        <v>HP_1!C55</v>
      </c>
      <c r="X156" s="628" t="str">
        <f t="shared" ca="1" si="45"/>
        <v>HP_1!D55</v>
      </c>
      <c r="Y156" s="628" t="str">
        <f t="shared" ca="1" si="45"/>
        <v>HP_1!E55</v>
      </c>
      <c r="Z156" s="628" t="str">
        <f t="shared" ca="1" si="45"/>
        <v>HP_1!F55</v>
      </c>
      <c r="AA156" s="629" t="str">
        <f t="shared" ca="1" si="45"/>
        <v>HP_1!G55</v>
      </c>
      <c r="AB156" s="627" t="str">
        <f t="shared" ca="1" si="46"/>
        <v>HP_</v>
      </c>
      <c r="AC156" s="628" t="str">
        <f t="shared" ca="1" si="46"/>
        <v>HP_</v>
      </c>
      <c r="AD156" s="628" t="str">
        <f t="shared" ca="1" si="46"/>
        <v>HP_</v>
      </c>
      <c r="AE156" s="628" t="str">
        <f t="shared" ca="1" si="46"/>
        <v>HP_</v>
      </c>
      <c r="AF156" s="629" t="str">
        <f t="shared" ca="1" si="46"/>
        <v>HP_</v>
      </c>
      <c r="AG156" s="627" t="str">
        <f t="shared" ca="1" si="47"/>
        <v>C55</v>
      </c>
      <c r="AH156" s="628" t="str">
        <f t="shared" ca="1" si="47"/>
        <v>D55</v>
      </c>
      <c r="AI156" s="628" t="str">
        <f t="shared" ca="1" si="47"/>
        <v>E55</v>
      </c>
      <c r="AJ156" s="628" t="str">
        <f t="shared" ca="1" si="47"/>
        <v>F55</v>
      </c>
      <c r="AK156" s="630" t="str">
        <f t="shared" ca="1" si="47"/>
        <v>G55</v>
      </c>
    </row>
    <row r="157" spans="1:37" ht="13.5" thickBot="1">
      <c r="A157" s="607" t="str">
        <f t="shared" ca="1" si="42"/>
        <v>Very high Temperature COP  (kW/kW)</v>
      </c>
      <c r="B157" s="608">
        <f ca="1">IF(E130="Yes",1,0)</f>
        <v>0</v>
      </c>
      <c r="C157" s="631">
        <f t="shared" ca="1" si="44"/>
        <v>0</v>
      </c>
      <c r="D157" s="632">
        <f t="shared" ca="1" si="43"/>
        <v>0</v>
      </c>
      <c r="E157" s="632">
        <f t="shared" ca="1" si="43"/>
        <v>0</v>
      </c>
      <c r="F157" s="632">
        <f t="shared" ca="1" si="43"/>
        <v>0</v>
      </c>
      <c r="G157" s="633">
        <f t="shared" ca="1" si="43"/>
        <v>0</v>
      </c>
      <c r="H157" s="634">
        <f>HP_1!C59</f>
        <v>0</v>
      </c>
      <c r="I157" s="635">
        <f>HP_1!D59</f>
        <v>0</v>
      </c>
      <c r="J157" s="635">
        <f>HP_1!E59</f>
        <v>0</v>
      </c>
      <c r="K157" s="635">
        <f>HP_1!F59</f>
        <v>0</v>
      </c>
      <c r="L157" s="636">
        <f>HP_1!G59</f>
        <v>0</v>
      </c>
      <c r="M157" s="631" cm="1">
        <f t="array" aca="1" ref="M157" ca="1">INDIRECT(AB157&amp;M$151&amp;"!"&amp;AG157)</f>
        <v>0</v>
      </c>
      <c r="N157" s="632" cm="1">
        <f t="array" aca="1" ref="N157" ca="1">INDIRECT(AC157&amp;N$151&amp;"!"&amp;AH157)</f>
        <v>0</v>
      </c>
      <c r="O157" s="632" cm="1">
        <f t="array" aca="1" ref="O157" ca="1">INDIRECT(AD157&amp;O$151&amp;"!"&amp;AI157)</f>
        <v>0</v>
      </c>
      <c r="P157" s="632" cm="1">
        <f t="array" aca="1" ref="P157" ca="1">INDIRECT(AE157&amp;P$151&amp;"!"&amp;AJ157)</f>
        <v>0</v>
      </c>
      <c r="Q157" s="633" cm="1">
        <f t="array" aca="1" ref="Q157" ca="1">INDIRECT(AF157&amp;Q$151&amp;"!"&amp;AK157)</f>
        <v>0</v>
      </c>
      <c r="R157" s="631" cm="1">
        <f t="array" aca="1" ref="R157" ca="1">INDIRECT(AB157&amp;R$151&amp;"!"&amp;AG157)</f>
        <v>0</v>
      </c>
      <c r="S157" s="632" cm="1">
        <f t="array" aca="1" ref="S157" ca="1">INDIRECT(AC157&amp;S$151&amp;"!"&amp;AH157)</f>
        <v>0</v>
      </c>
      <c r="T157" s="632" cm="1">
        <f t="array" aca="1" ref="T157" ca="1">INDIRECT(AD157&amp;T$151&amp;"!"&amp;AI157)</f>
        <v>0</v>
      </c>
      <c r="U157" s="632" cm="1">
        <f t="array" aca="1" ref="U157" ca="1">INDIRECT(AE157&amp;U$151&amp;"!"&amp;AJ157)</f>
        <v>0</v>
      </c>
      <c r="V157" s="637" cm="1">
        <f t="array" aca="1" ref="V157" ca="1">INDIRECT(AF157&amp;V$151&amp;"!"&amp;AK157)</f>
        <v>0</v>
      </c>
      <c r="W157" s="638" t="str">
        <f t="shared" ca="1" si="45"/>
        <v>HP_1!C59</v>
      </c>
      <c r="X157" s="639" t="str">
        <f t="shared" ca="1" si="45"/>
        <v>HP_1!D59</v>
      </c>
      <c r="Y157" s="639" t="str">
        <f t="shared" ca="1" si="45"/>
        <v>HP_1!E59</v>
      </c>
      <c r="Z157" s="639" t="str">
        <f t="shared" ca="1" si="45"/>
        <v>HP_1!F59</v>
      </c>
      <c r="AA157" s="640" t="str">
        <f t="shared" ca="1" si="45"/>
        <v>HP_1!G59</v>
      </c>
      <c r="AB157" s="638" t="str">
        <f t="shared" ca="1" si="46"/>
        <v>HP_</v>
      </c>
      <c r="AC157" s="639" t="str">
        <f t="shared" ca="1" si="46"/>
        <v>HP_</v>
      </c>
      <c r="AD157" s="639" t="str">
        <f t="shared" ca="1" si="46"/>
        <v>HP_</v>
      </c>
      <c r="AE157" s="639" t="str">
        <f t="shared" ca="1" si="46"/>
        <v>HP_</v>
      </c>
      <c r="AF157" s="640" t="str">
        <f t="shared" ca="1" si="46"/>
        <v>HP_</v>
      </c>
      <c r="AG157" s="638" t="str">
        <f t="shared" ca="1" si="47"/>
        <v>C59</v>
      </c>
      <c r="AH157" s="639" t="str">
        <f t="shared" ca="1" si="47"/>
        <v>D59</v>
      </c>
      <c r="AI157" s="639" t="str">
        <f t="shared" ca="1" si="47"/>
        <v>E59</v>
      </c>
      <c r="AJ157" s="639" t="str">
        <f t="shared" ca="1" si="47"/>
        <v>F59</v>
      </c>
      <c r="AK157" s="641" t="str">
        <f t="shared" ca="1" si="47"/>
        <v>G59</v>
      </c>
    </row>
    <row r="158" spans="1:37">
      <c r="A158" s="607" t="str">
        <f t="shared" ca="1" si="42"/>
        <v>Low Temperature Heating Capacity (kW)</v>
      </c>
      <c r="B158" s="608">
        <f ca="1">B154</f>
        <v>0</v>
      </c>
      <c r="C158" s="620">
        <f t="shared" ca="1" si="44"/>
        <v>0</v>
      </c>
      <c r="D158" s="621">
        <f t="shared" ca="1" si="43"/>
        <v>0</v>
      </c>
      <c r="E158" s="621">
        <f t="shared" ca="1" si="43"/>
        <v>0</v>
      </c>
      <c r="F158" s="621">
        <f t="shared" ca="1" si="43"/>
        <v>0</v>
      </c>
      <c r="G158" s="622">
        <f t="shared" ca="1" si="43"/>
        <v>0</v>
      </c>
      <c r="H158" s="623">
        <f>HP_1!C46</f>
        <v>0</v>
      </c>
      <c r="I158" s="624">
        <f>HP_1!D46</f>
        <v>0</v>
      </c>
      <c r="J158" s="624">
        <f>HP_1!E46</f>
        <v>0</v>
      </c>
      <c r="K158" s="624">
        <f>HP_1!F46</f>
        <v>0</v>
      </c>
      <c r="L158" s="625">
        <f>HP_1!G46</f>
        <v>0</v>
      </c>
      <c r="M158" s="620" cm="1">
        <f t="array" aca="1" ref="M158" ca="1">INDIRECT(AB158&amp;M$151&amp;"!"&amp;AG158)</f>
        <v>0</v>
      </c>
      <c r="N158" s="621" cm="1">
        <f t="array" aca="1" ref="N158" ca="1">INDIRECT(AC158&amp;N$151&amp;"!"&amp;AH158)</f>
        <v>0</v>
      </c>
      <c r="O158" s="621" cm="1">
        <f t="array" aca="1" ref="O158" ca="1">INDIRECT(AD158&amp;O$151&amp;"!"&amp;AI158)</f>
        <v>0</v>
      </c>
      <c r="P158" s="621" cm="1">
        <f t="array" aca="1" ref="P158" ca="1">INDIRECT(AE158&amp;P$151&amp;"!"&amp;AJ158)</f>
        <v>0</v>
      </c>
      <c r="Q158" s="622" cm="1">
        <f t="array" aca="1" ref="Q158" ca="1">INDIRECT(AF158&amp;Q$151&amp;"!"&amp;AK158)</f>
        <v>0</v>
      </c>
      <c r="R158" s="620" cm="1">
        <f t="array" aca="1" ref="R158" ca="1">INDIRECT(AB158&amp;R$151&amp;"!"&amp;AG158)</f>
        <v>0</v>
      </c>
      <c r="S158" s="621" cm="1">
        <f t="array" aca="1" ref="S158" ca="1">INDIRECT(AC158&amp;S$151&amp;"!"&amp;AH158)</f>
        <v>0</v>
      </c>
      <c r="T158" s="621" cm="1">
        <f t="array" aca="1" ref="T158" ca="1">INDIRECT(AD158&amp;T$151&amp;"!"&amp;AI158)</f>
        <v>0</v>
      </c>
      <c r="U158" s="621" cm="1">
        <f t="array" aca="1" ref="U158" ca="1">INDIRECT(AE158&amp;U$151&amp;"!"&amp;AJ158)</f>
        <v>0</v>
      </c>
      <c r="V158" s="626" cm="1">
        <f t="array" aca="1" ref="V158" ca="1">INDIRECT(AF158&amp;V$151&amp;"!"&amp;AK158)</f>
        <v>0</v>
      </c>
      <c r="W158" s="627" t="str">
        <f t="shared" ca="1" si="45"/>
        <v>HP_1!C46</v>
      </c>
      <c r="X158" s="628" t="str">
        <f t="shared" ca="1" si="45"/>
        <v>HP_1!D46</v>
      </c>
      <c r="Y158" s="628" t="str">
        <f t="shared" ca="1" si="45"/>
        <v>HP_1!E46</v>
      </c>
      <c r="Z158" s="628" t="str">
        <f t="shared" ca="1" si="45"/>
        <v>HP_1!F46</v>
      </c>
      <c r="AA158" s="629" t="str">
        <f t="shared" ca="1" si="45"/>
        <v>HP_1!G46</v>
      </c>
      <c r="AB158" s="627" t="str">
        <f t="shared" ca="1" si="46"/>
        <v>HP_</v>
      </c>
      <c r="AC158" s="628" t="str">
        <f t="shared" ca="1" si="46"/>
        <v>HP_</v>
      </c>
      <c r="AD158" s="628" t="str">
        <f t="shared" ca="1" si="46"/>
        <v>HP_</v>
      </c>
      <c r="AE158" s="628" t="str">
        <f t="shared" ca="1" si="46"/>
        <v>HP_</v>
      </c>
      <c r="AF158" s="629" t="str">
        <f t="shared" ca="1" si="46"/>
        <v>HP_</v>
      </c>
      <c r="AG158" s="627" t="str">
        <f t="shared" ca="1" si="47"/>
        <v>C46</v>
      </c>
      <c r="AH158" s="628" t="str">
        <f t="shared" ca="1" si="47"/>
        <v>D46</v>
      </c>
      <c r="AI158" s="628" t="str">
        <f t="shared" ca="1" si="47"/>
        <v>E46</v>
      </c>
      <c r="AJ158" s="628" t="str">
        <f t="shared" ca="1" si="47"/>
        <v>F46</v>
      </c>
      <c r="AK158" s="630" t="str">
        <f t="shared" ca="1" si="47"/>
        <v>G46</v>
      </c>
    </row>
    <row r="159" spans="1:37">
      <c r="A159" s="607" t="str">
        <f t="shared" ca="1" si="42"/>
        <v>Medium Temperature Heating Capacity (kW)</v>
      </c>
      <c r="B159" s="608">
        <f ca="1">B155</f>
        <v>0</v>
      </c>
      <c r="C159" s="620">
        <f t="shared" ca="1" si="44"/>
        <v>0</v>
      </c>
      <c r="D159" s="621">
        <f t="shared" ca="1" si="43"/>
        <v>0</v>
      </c>
      <c r="E159" s="621">
        <f t="shared" ca="1" si="43"/>
        <v>0</v>
      </c>
      <c r="F159" s="621">
        <f t="shared" ca="1" si="43"/>
        <v>0</v>
      </c>
      <c r="G159" s="622">
        <f t="shared" ca="1" si="43"/>
        <v>0</v>
      </c>
      <c r="H159" s="623">
        <f>HP_1!C50</f>
        <v>0</v>
      </c>
      <c r="I159" s="624">
        <f>HP_1!D50</f>
        <v>0</v>
      </c>
      <c r="J159" s="624">
        <f>HP_1!E50</f>
        <v>0</v>
      </c>
      <c r="K159" s="624">
        <f>HP_1!F50</f>
        <v>0</v>
      </c>
      <c r="L159" s="625">
        <f>HP_1!G50</f>
        <v>0</v>
      </c>
      <c r="M159" s="620" cm="1">
        <f t="array" aca="1" ref="M159" ca="1">INDIRECT(AB159&amp;M$151&amp;"!"&amp;AG159)</f>
        <v>0</v>
      </c>
      <c r="N159" s="621" cm="1">
        <f t="array" aca="1" ref="N159" ca="1">INDIRECT(AC159&amp;N$151&amp;"!"&amp;AH159)</f>
        <v>0</v>
      </c>
      <c r="O159" s="621" cm="1">
        <f t="array" aca="1" ref="O159" ca="1">INDIRECT(AD159&amp;O$151&amp;"!"&amp;AI159)</f>
        <v>0</v>
      </c>
      <c r="P159" s="621" cm="1">
        <f t="array" aca="1" ref="P159" ca="1">INDIRECT(AE159&amp;P$151&amp;"!"&amp;AJ159)</f>
        <v>0</v>
      </c>
      <c r="Q159" s="622" cm="1">
        <f t="array" aca="1" ref="Q159" ca="1">INDIRECT(AF159&amp;Q$151&amp;"!"&amp;AK159)</f>
        <v>0</v>
      </c>
      <c r="R159" s="620" cm="1">
        <f t="array" aca="1" ref="R159" ca="1">INDIRECT(AB159&amp;R$151&amp;"!"&amp;AG159)</f>
        <v>0</v>
      </c>
      <c r="S159" s="621" cm="1">
        <f t="array" aca="1" ref="S159" ca="1">INDIRECT(AC159&amp;S$151&amp;"!"&amp;AH159)</f>
        <v>0</v>
      </c>
      <c r="T159" s="621" cm="1">
        <f t="array" aca="1" ref="T159" ca="1">INDIRECT(AD159&amp;T$151&amp;"!"&amp;AI159)</f>
        <v>0</v>
      </c>
      <c r="U159" s="621" cm="1">
        <f t="array" aca="1" ref="U159" ca="1">INDIRECT(AE159&amp;U$151&amp;"!"&amp;AJ159)</f>
        <v>0</v>
      </c>
      <c r="V159" s="626" cm="1">
        <f t="array" aca="1" ref="V159" ca="1">INDIRECT(AF159&amp;V$151&amp;"!"&amp;AK159)</f>
        <v>0</v>
      </c>
      <c r="W159" s="627" t="str">
        <f t="shared" ca="1" si="45"/>
        <v>HP_1!C50</v>
      </c>
      <c r="X159" s="628" t="str">
        <f t="shared" ca="1" si="45"/>
        <v>HP_1!D50</v>
      </c>
      <c r="Y159" s="628" t="str">
        <f t="shared" ca="1" si="45"/>
        <v>HP_1!E50</v>
      </c>
      <c r="Z159" s="628" t="str">
        <f t="shared" ca="1" si="45"/>
        <v>HP_1!F50</v>
      </c>
      <c r="AA159" s="629" t="str">
        <f t="shared" ca="1" si="45"/>
        <v>HP_1!G50</v>
      </c>
      <c r="AB159" s="627" t="str">
        <f t="shared" ca="1" si="46"/>
        <v>HP_</v>
      </c>
      <c r="AC159" s="628" t="str">
        <f t="shared" ca="1" si="46"/>
        <v>HP_</v>
      </c>
      <c r="AD159" s="628" t="str">
        <f t="shared" ca="1" si="46"/>
        <v>HP_</v>
      </c>
      <c r="AE159" s="628" t="str">
        <f t="shared" ca="1" si="46"/>
        <v>HP_</v>
      </c>
      <c r="AF159" s="629" t="str">
        <f t="shared" ca="1" si="46"/>
        <v>HP_</v>
      </c>
      <c r="AG159" s="627" t="str">
        <f t="shared" ca="1" si="47"/>
        <v>C50</v>
      </c>
      <c r="AH159" s="628" t="str">
        <f t="shared" ca="1" si="47"/>
        <v>D50</v>
      </c>
      <c r="AI159" s="628" t="str">
        <f t="shared" ca="1" si="47"/>
        <v>E50</v>
      </c>
      <c r="AJ159" s="628" t="str">
        <f t="shared" ca="1" si="47"/>
        <v>F50</v>
      </c>
      <c r="AK159" s="630" t="str">
        <f t="shared" ca="1" si="47"/>
        <v>G50</v>
      </c>
    </row>
    <row r="160" spans="1:37">
      <c r="A160" s="607" t="str">
        <f t="shared" ca="1" si="42"/>
        <v>High Temperature Heating Capacity (kW)</v>
      </c>
      <c r="B160" s="608">
        <f ca="1">B156</f>
        <v>1</v>
      </c>
      <c r="C160" s="620">
        <f t="shared" ca="1" si="44"/>
        <v>0</v>
      </c>
      <c r="D160" s="621">
        <f t="shared" ca="1" si="43"/>
        <v>0</v>
      </c>
      <c r="E160" s="621">
        <f t="shared" ca="1" si="43"/>
        <v>0</v>
      </c>
      <c r="F160" s="621">
        <f t="shared" ca="1" si="43"/>
        <v>0</v>
      </c>
      <c r="G160" s="622">
        <f t="shared" ca="1" si="43"/>
        <v>0</v>
      </c>
      <c r="H160" s="623">
        <f>HP_1!C54</f>
        <v>0</v>
      </c>
      <c r="I160" s="624">
        <f>HP_1!D54</f>
        <v>0</v>
      </c>
      <c r="J160" s="624">
        <f>HP_1!E54</f>
        <v>0</v>
      </c>
      <c r="K160" s="624">
        <f>HP_1!F54</f>
        <v>0</v>
      </c>
      <c r="L160" s="625">
        <f>HP_1!G54</f>
        <v>0</v>
      </c>
      <c r="M160" s="620" cm="1">
        <f t="array" aca="1" ref="M160" ca="1">INDIRECT(AB160&amp;M$151&amp;"!"&amp;AG160)</f>
        <v>0</v>
      </c>
      <c r="N160" s="621" cm="1">
        <f t="array" aca="1" ref="N160" ca="1">INDIRECT(AC160&amp;N$151&amp;"!"&amp;AH160)</f>
        <v>0</v>
      </c>
      <c r="O160" s="621" cm="1">
        <f t="array" aca="1" ref="O160" ca="1">INDIRECT(AD160&amp;O$151&amp;"!"&amp;AI160)</f>
        <v>0</v>
      </c>
      <c r="P160" s="621" cm="1">
        <f t="array" aca="1" ref="P160" ca="1">INDIRECT(AE160&amp;P$151&amp;"!"&amp;AJ160)</f>
        <v>0</v>
      </c>
      <c r="Q160" s="622" cm="1">
        <f t="array" aca="1" ref="Q160" ca="1">INDIRECT(AF160&amp;Q$151&amp;"!"&amp;AK160)</f>
        <v>0</v>
      </c>
      <c r="R160" s="620" cm="1">
        <f t="array" aca="1" ref="R160" ca="1">INDIRECT(AB160&amp;R$151&amp;"!"&amp;AG160)</f>
        <v>0</v>
      </c>
      <c r="S160" s="621" cm="1">
        <f t="array" aca="1" ref="S160" ca="1">INDIRECT(AC160&amp;S$151&amp;"!"&amp;AH160)</f>
        <v>0</v>
      </c>
      <c r="T160" s="621" cm="1">
        <f t="array" aca="1" ref="T160" ca="1">INDIRECT(AD160&amp;T$151&amp;"!"&amp;AI160)</f>
        <v>0</v>
      </c>
      <c r="U160" s="621" cm="1">
        <f t="array" aca="1" ref="U160" ca="1">INDIRECT(AE160&amp;U$151&amp;"!"&amp;AJ160)</f>
        <v>0</v>
      </c>
      <c r="V160" s="626" cm="1">
        <f t="array" aca="1" ref="V160" ca="1">INDIRECT(AF160&amp;V$151&amp;"!"&amp;AK160)</f>
        <v>0</v>
      </c>
      <c r="W160" s="627" t="str">
        <f t="shared" ca="1" si="45"/>
        <v>HP_1!C54</v>
      </c>
      <c r="X160" s="628" t="str">
        <f t="shared" ca="1" si="45"/>
        <v>HP_1!D54</v>
      </c>
      <c r="Y160" s="628" t="str">
        <f t="shared" ca="1" si="45"/>
        <v>HP_1!E54</v>
      </c>
      <c r="Z160" s="628" t="str">
        <f t="shared" ca="1" si="45"/>
        <v>HP_1!F54</v>
      </c>
      <c r="AA160" s="629" t="str">
        <f t="shared" ca="1" si="45"/>
        <v>HP_1!G54</v>
      </c>
      <c r="AB160" s="627" t="str">
        <f t="shared" ca="1" si="46"/>
        <v>HP_</v>
      </c>
      <c r="AC160" s="628" t="str">
        <f t="shared" ca="1" si="46"/>
        <v>HP_</v>
      </c>
      <c r="AD160" s="628" t="str">
        <f t="shared" ca="1" si="46"/>
        <v>HP_</v>
      </c>
      <c r="AE160" s="628" t="str">
        <f t="shared" ca="1" si="46"/>
        <v>HP_</v>
      </c>
      <c r="AF160" s="629" t="str">
        <f t="shared" ca="1" si="46"/>
        <v>HP_</v>
      </c>
      <c r="AG160" s="627" t="str">
        <f t="shared" ca="1" si="47"/>
        <v>C54</v>
      </c>
      <c r="AH160" s="628" t="str">
        <f t="shared" ca="1" si="47"/>
        <v>D54</v>
      </c>
      <c r="AI160" s="628" t="str">
        <f t="shared" ca="1" si="47"/>
        <v>E54</v>
      </c>
      <c r="AJ160" s="628" t="str">
        <f t="shared" ca="1" si="47"/>
        <v>F54</v>
      </c>
      <c r="AK160" s="630" t="str">
        <f t="shared" ca="1" si="47"/>
        <v>G54</v>
      </c>
    </row>
    <row r="161" spans="1:37" ht="13.5" thickBot="1">
      <c r="A161" s="642" t="str">
        <f t="shared" ca="1" si="42"/>
        <v>Very high Temperature Heating Capacity (kW)</v>
      </c>
      <c r="B161" s="643">
        <f ca="1">B157</f>
        <v>0</v>
      </c>
      <c r="C161" s="631">
        <f t="shared" ca="1" si="44"/>
        <v>0</v>
      </c>
      <c r="D161" s="632">
        <f t="shared" ca="1" si="43"/>
        <v>0</v>
      </c>
      <c r="E161" s="632">
        <f t="shared" ca="1" si="43"/>
        <v>0</v>
      </c>
      <c r="F161" s="632">
        <f t="shared" ca="1" si="43"/>
        <v>0</v>
      </c>
      <c r="G161" s="633">
        <f t="shared" ca="1" si="43"/>
        <v>0</v>
      </c>
      <c r="H161" s="634">
        <f>HP_1!C58</f>
        <v>0</v>
      </c>
      <c r="I161" s="635">
        <f>HP_1!D58</f>
        <v>0</v>
      </c>
      <c r="J161" s="635">
        <f>HP_1!E58</f>
        <v>0</v>
      </c>
      <c r="K161" s="635">
        <f>HP_1!F58</f>
        <v>0</v>
      </c>
      <c r="L161" s="636">
        <f>HP_1!G58</f>
        <v>0</v>
      </c>
      <c r="M161" s="631" cm="1">
        <f t="array" aca="1" ref="M161" ca="1">INDIRECT(AB161&amp;M$151&amp;"!"&amp;AG161)</f>
        <v>0</v>
      </c>
      <c r="N161" s="632" cm="1">
        <f t="array" aca="1" ref="N161" ca="1">INDIRECT(AC161&amp;N$151&amp;"!"&amp;AH161)</f>
        <v>0</v>
      </c>
      <c r="O161" s="632" cm="1">
        <f t="array" aca="1" ref="O161" ca="1">INDIRECT(AD161&amp;O$151&amp;"!"&amp;AI161)</f>
        <v>0</v>
      </c>
      <c r="P161" s="632" cm="1">
        <f t="array" aca="1" ref="P161" ca="1">INDIRECT(AE161&amp;P$151&amp;"!"&amp;AJ161)</f>
        <v>0</v>
      </c>
      <c r="Q161" s="633" cm="1">
        <f t="array" aca="1" ref="Q161" ca="1">INDIRECT(AF161&amp;Q$151&amp;"!"&amp;AK161)</f>
        <v>0</v>
      </c>
      <c r="R161" s="631" cm="1">
        <f t="array" aca="1" ref="R161" ca="1">INDIRECT(AB161&amp;R$151&amp;"!"&amp;AG161)</f>
        <v>0</v>
      </c>
      <c r="S161" s="632" cm="1">
        <f t="array" aca="1" ref="S161" ca="1">INDIRECT(AC161&amp;S$151&amp;"!"&amp;AH161)</f>
        <v>0</v>
      </c>
      <c r="T161" s="632" cm="1">
        <f t="array" aca="1" ref="T161" ca="1">INDIRECT(AD161&amp;T$151&amp;"!"&amp;AI161)</f>
        <v>0</v>
      </c>
      <c r="U161" s="632" cm="1">
        <f t="array" aca="1" ref="U161" ca="1">INDIRECT(AE161&amp;U$151&amp;"!"&amp;AJ161)</f>
        <v>0</v>
      </c>
      <c r="V161" s="637" cm="1">
        <f t="array" aca="1" ref="V161" ca="1">INDIRECT(AF161&amp;V$151&amp;"!"&amp;AK161)</f>
        <v>0</v>
      </c>
      <c r="W161" s="638" t="str">
        <f t="shared" ca="1" si="45"/>
        <v>HP_1!C58</v>
      </c>
      <c r="X161" s="639" t="str">
        <f t="shared" ca="1" si="45"/>
        <v>HP_1!D58</v>
      </c>
      <c r="Y161" s="639" t="str">
        <f t="shared" ca="1" si="45"/>
        <v>HP_1!E58</v>
      </c>
      <c r="Z161" s="639" t="str">
        <f t="shared" ca="1" si="45"/>
        <v>HP_1!F58</v>
      </c>
      <c r="AA161" s="640" t="str">
        <f t="shared" ca="1" si="45"/>
        <v>HP_1!G58</v>
      </c>
      <c r="AB161" s="638" t="str">
        <f t="shared" ca="1" si="46"/>
        <v>HP_</v>
      </c>
      <c r="AC161" s="639" t="str">
        <f t="shared" ca="1" si="46"/>
        <v>HP_</v>
      </c>
      <c r="AD161" s="639" t="str">
        <f t="shared" ca="1" si="46"/>
        <v>HP_</v>
      </c>
      <c r="AE161" s="639" t="str">
        <f t="shared" ca="1" si="46"/>
        <v>HP_</v>
      </c>
      <c r="AF161" s="640" t="str">
        <f t="shared" ca="1" si="46"/>
        <v>HP_</v>
      </c>
      <c r="AG161" s="638" t="str">
        <f t="shared" ca="1" si="47"/>
        <v>C58</v>
      </c>
      <c r="AH161" s="639" t="str">
        <f t="shared" ca="1" si="47"/>
        <v>D58</v>
      </c>
      <c r="AI161" s="639" t="str">
        <f t="shared" ca="1" si="47"/>
        <v>E58</v>
      </c>
      <c r="AJ161" s="639" t="str">
        <f t="shared" ca="1" si="47"/>
        <v>F58</v>
      </c>
      <c r="AK161" s="641" t="str">
        <f t="shared" ca="1" si="47"/>
        <v>G58</v>
      </c>
    </row>
  </sheetData>
  <sheetProtection algorithmName="SHA-512" hashValue="FCdIVMmmtbyOxiO+LTsfjjDIIzywYKyk4NIW4dOwIpmf6p4cq7bUXeAjKVV0grsia5oUH1PuSLb+1Opa3Hx7Sw==" saltValue="gsi3oL+8VlYtcX1m69/T9Q==" spinCount="100000" sheet="1" objects="1" scenarios="1"/>
  <autoFilter ref="A1:AD56" xr:uid="{00000000-0009-0000-0000-000013000000}"/>
  <mergeCells count="5">
    <mergeCell ref="AF3:AI3"/>
    <mergeCell ref="C40:H40"/>
    <mergeCell ref="W151:AA151"/>
    <mergeCell ref="AB151:AF151"/>
    <mergeCell ref="AG151:AK151"/>
  </mergeCells>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664F-6669-4A59-86CA-97257C6ED9B1}">
  <dimension ref="A1:AK161"/>
  <sheetViews>
    <sheetView topLeftCell="K1" zoomScale="90" zoomScaleNormal="90" workbookViewId="0">
      <selection activeCell="X9" sqref="X9"/>
    </sheetView>
  </sheetViews>
  <sheetFormatPr defaultColWidth="9.140625" defaultRowHeight="12.75"/>
  <cols>
    <col min="1" max="1" width="47.140625" style="80" customWidth="1"/>
    <col min="2" max="2" width="39" style="80" customWidth="1"/>
    <col min="3" max="3" width="9.5703125" style="80" bestFit="1" customWidth="1"/>
    <col min="4" max="4" width="11.5703125" style="80" bestFit="1" customWidth="1"/>
    <col min="5" max="7" width="15" style="80" customWidth="1"/>
    <col min="8" max="8" width="11.85546875" style="80" customWidth="1"/>
    <col min="9" max="9" width="73.42578125" style="80" customWidth="1"/>
    <col min="10" max="10" width="35.42578125" style="80" customWidth="1"/>
    <col min="11" max="11" width="14.5703125" style="80" customWidth="1"/>
    <col min="12" max="12" width="36.140625" style="82" customWidth="1"/>
    <col min="13" max="13" width="14.5703125" style="80" customWidth="1"/>
    <col min="14" max="14" width="9.140625" style="80"/>
    <col min="15" max="15" width="15.85546875" style="80" customWidth="1"/>
    <col min="16" max="16" width="15.5703125" style="80" customWidth="1"/>
    <col min="17" max="19" width="16.85546875" style="80" customWidth="1"/>
    <col min="20" max="20" width="20" style="80" customWidth="1"/>
    <col min="21" max="21" width="18.5703125" style="80" customWidth="1"/>
    <col min="22" max="22" width="11.42578125" style="80" customWidth="1"/>
    <col min="23" max="23" width="10.85546875" style="80" customWidth="1"/>
    <col min="24" max="24" width="9.140625" style="80"/>
    <col min="25" max="25" width="11.5703125" style="80" customWidth="1"/>
    <col min="26" max="27" width="14.5703125" style="80" customWidth="1"/>
    <col min="28" max="28" width="12.5703125" style="80" customWidth="1"/>
    <col min="29" max="29" width="26" style="82" customWidth="1"/>
    <col min="30" max="31" width="11.42578125" style="80" customWidth="1"/>
    <col min="32" max="16384" width="9.140625" style="80"/>
  </cols>
  <sheetData>
    <row r="1" spans="1:35" ht="18.75" thickBot="1">
      <c r="A1" s="522" t="s">
        <v>447</v>
      </c>
      <c r="C1" s="80" t="s">
        <v>448</v>
      </c>
      <c r="D1" s="80" t="s">
        <v>449</v>
      </c>
      <c r="E1" s="80" t="s">
        <v>450</v>
      </c>
      <c r="F1" s="80" t="s">
        <v>451</v>
      </c>
      <c r="G1" s="80" t="s">
        <v>452</v>
      </c>
      <c r="H1" s="80" t="s">
        <v>453</v>
      </c>
      <c r="I1" s="523" t="s">
        <v>454</v>
      </c>
      <c r="J1" s="258" t="s">
        <v>200</v>
      </c>
      <c r="K1" s="259">
        <v>3</v>
      </c>
      <c r="L1" s="40"/>
      <c r="M1" s="524"/>
      <c r="N1" s="41"/>
      <c r="O1" s="80" t="s">
        <v>455</v>
      </c>
      <c r="P1" s="80" t="s">
        <v>23</v>
      </c>
      <c r="Q1" s="80" t="s">
        <v>23</v>
      </c>
      <c r="T1" s="81" t="e">
        <f ca="1">IF(E111=24,(1-AG24)*H8,IF(E111=16,(1-AH24)*H8,(1-AI24)*H8))</f>
        <v>#VALUE!</v>
      </c>
      <c r="U1" s="81">
        <f ca="1">H12</f>
        <v>0</v>
      </c>
      <c r="AA1" s="80" t="e">
        <f ca="1">IF(E111=24,(AG24)*H8,IF(E111=16,(AH24)*H8,(AI24)*H8))</f>
        <v>#VALUE!</v>
      </c>
      <c r="AC1" s="40"/>
      <c r="AD1" s="524"/>
    </row>
    <row r="2" spans="1:35" ht="27.6" customHeight="1">
      <c r="A2" s="80" t="s">
        <v>456</v>
      </c>
      <c r="B2" s="525" t="s">
        <v>457</v>
      </c>
      <c r="C2" s="526" t="s">
        <v>458</v>
      </c>
      <c r="D2" s="526" t="s">
        <v>459</v>
      </c>
      <c r="E2" s="526" t="s">
        <v>460</v>
      </c>
      <c r="F2" s="526" t="s">
        <v>461</v>
      </c>
      <c r="G2" s="526" t="s">
        <v>462</v>
      </c>
      <c r="J2" s="527"/>
      <c r="K2" s="523"/>
      <c r="M2" s="523"/>
      <c r="AD2" s="523" t="s">
        <v>23</v>
      </c>
    </row>
    <row r="3" spans="1:35" ht="69.599999999999994" customHeight="1">
      <c r="A3" s="80" t="s">
        <v>463</v>
      </c>
      <c r="B3" s="80" t="s">
        <v>464</v>
      </c>
      <c r="C3" s="81">
        <f ca="1">E101</f>
        <v>0</v>
      </c>
      <c r="D3" s="80">
        <v>-7</v>
      </c>
      <c r="E3" s="80">
        <v>2</v>
      </c>
      <c r="F3" s="80">
        <v>7</v>
      </c>
      <c r="G3" s="80">
        <v>12</v>
      </c>
      <c r="I3" s="528" t="str">
        <f ca="1">"Based on standard "&amp;E100</f>
        <v>Based on standard I.S. EN 14825</v>
      </c>
      <c r="J3" s="527"/>
      <c r="K3" s="523"/>
      <c r="M3" s="523" t="s">
        <v>465</v>
      </c>
      <c r="N3" s="527" t="s">
        <v>369</v>
      </c>
      <c r="O3" s="82" t="s">
        <v>466</v>
      </c>
      <c r="P3" s="82" t="s">
        <v>467</v>
      </c>
      <c r="Q3" s="82" t="s">
        <v>468</v>
      </c>
      <c r="R3" s="82" t="s">
        <v>469</v>
      </c>
      <c r="S3" s="82" t="s">
        <v>470</v>
      </c>
      <c r="T3" s="82" t="s">
        <v>471</v>
      </c>
      <c r="U3" s="82" t="s">
        <v>472</v>
      </c>
      <c r="V3" s="82" t="s">
        <v>473</v>
      </c>
      <c r="W3" s="529" t="s">
        <v>474</v>
      </c>
      <c r="X3" s="529" t="s">
        <v>475</v>
      </c>
      <c r="Y3" s="529" t="s">
        <v>476</v>
      </c>
      <c r="Z3" s="529" t="s">
        <v>477</v>
      </c>
      <c r="AA3" s="527" t="s">
        <v>478</v>
      </c>
      <c r="AB3" s="527" t="s">
        <v>479</v>
      </c>
      <c r="AC3" s="527" t="s">
        <v>480</v>
      </c>
      <c r="AD3" s="523"/>
      <c r="AF3" s="717" t="s">
        <v>481</v>
      </c>
      <c r="AG3" s="717"/>
      <c r="AH3" s="717"/>
      <c r="AI3" s="717"/>
    </row>
    <row r="4" spans="1:35" ht="14.25">
      <c r="A4" s="523" t="s">
        <v>482</v>
      </c>
      <c r="B4" s="80" t="s">
        <v>483</v>
      </c>
      <c r="C4" s="80">
        <v>-12</v>
      </c>
      <c r="D4" s="80">
        <f ca="1">(C3+D3)/2</f>
        <v>-3.5</v>
      </c>
      <c r="E4" s="80">
        <f>(D3+E3)/2</f>
        <v>-2.5</v>
      </c>
      <c r="F4" s="80">
        <f>(E3+F3)/2</f>
        <v>4.5</v>
      </c>
      <c r="G4" s="80">
        <f>(F3+G3)/2</f>
        <v>9.5</v>
      </c>
      <c r="I4" s="528" t="s">
        <v>484</v>
      </c>
      <c r="J4" s="527"/>
      <c r="K4" s="523"/>
      <c r="M4" s="530">
        <f ca="1">C3</f>
        <v>0</v>
      </c>
      <c r="N4" s="81">
        <f ca="1">C41</f>
        <v>0</v>
      </c>
      <c r="O4" s="531">
        <v>-12</v>
      </c>
      <c r="P4" s="532">
        <f>'Meteorological data'!F4</f>
        <v>0</v>
      </c>
      <c r="Q4" s="532">
        <f>'Meteorological data'!G4</f>
        <v>0</v>
      </c>
      <c r="R4" s="533">
        <v>0</v>
      </c>
      <c r="S4" s="534">
        <f t="shared" ref="S4:S51" ca="1" si="0">R4*((24-$E$112)/24)</f>
        <v>0</v>
      </c>
      <c r="T4" s="534" t="e">
        <f ca="1">$T$1*P4</f>
        <v>#VALUE!</v>
      </c>
      <c r="U4" s="534">
        <f ca="1">$U$1*Q4</f>
        <v>0</v>
      </c>
      <c r="V4" s="534" t="e">
        <f t="shared" ref="V4:V51" ca="1" si="1">IF($E$91=TRUE,(T4+U4),T4)</f>
        <v>#VALUE!</v>
      </c>
      <c r="W4" s="81" t="e">
        <f t="shared" ref="W4:W31" ca="1" si="2">$E$105+((($E$107-$E$110)/2)*(($E$105-O4)/($E$105-$E$104)))+((AVERAGE($E$107,$E$110)-$E$105)*(($E$105-O4)/($E$105-$E$104))^(1/$E$108))</f>
        <v>#VALUE!</v>
      </c>
      <c r="X4" s="81">
        <f ca="1">IF($M$4&lt;&gt;-7,(($X$9-$N$4)/($O$9-$M$4))*(O4-$M$4)+$N$4,0.1)</f>
        <v>0</v>
      </c>
      <c r="Y4" s="534" t="e">
        <f ca="1">V4/X4</f>
        <v>#VALUE!</v>
      </c>
      <c r="Z4" s="534" t="e">
        <f ca="1">IF((Y4-S4)&lt;0,0,(Y4-S4))</f>
        <v>#VALUE!</v>
      </c>
      <c r="AA4" s="534" t="e">
        <f ca="1">$AA$1*P4</f>
        <v>#VALUE!</v>
      </c>
      <c r="AB4" s="534" t="e">
        <f ca="1">X4*Z4</f>
        <v>#VALUE!</v>
      </c>
      <c r="AC4" s="535" t="e">
        <f ca="1">AA4+AB4</f>
        <v>#VALUE!</v>
      </c>
      <c r="AF4" s="523" t="s">
        <v>485</v>
      </c>
      <c r="AG4" s="80">
        <v>24</v>
      </c>
      <c r="AH4" s="80">
        <v>16</v>
      </c>
      <c r="AI4" s="80">
        <v>11</v>
      </c>
    </row>
    <row r="5" spans="1:35" ht="14.25">
      <c r="A5" s="523" t="s">
        <v>486</v>
      </c>
      <c r="B5" s="80" t="s">
        <v>483</v>
      </c>
      <c r="C5" s="80">
        <f ca="1">(C3+D3)/2</f>
        <v>-3.5</v>
      </c>
      <c r="D5" s="80">
        <f>(D3+E3)/2</f>
        <v>-2.5</v>
      </c>
      <c r="E5" s="80">
        <f>(E3+F3)/2</f>
        <v>4.5</v>
      </c>
      <c r="F5" s="80">
        <f>(F3+G3)/2</f>
        <v>9.5</v>
      </c>
      <c r="G5" s="80">
        <v>35</v>
      </c>
      <c r="I5" s="528" t="s">
        <v>487</v>
      </c>
      <c r="J5" s="527"/>
      <c r="K5" s="523"/>
      <c r="M5" s="523"/>
      <c r="O5" s="531">
        <f t="shared" ref="O5:O51" si="3">O4+1</f>
        <v>-11</v>
      </c>
      <c r="P5" s="532">
        <f>'Meteorological data'!F5</f>
        <v>0</v>
      </c>
      <c r="Q5" s="532">
        <f>'Meteorological data'!G5</f>
        <v>0</v>
      </c>
      <c r="R5" s="533">
        <v>0</v>
      </c>
      <c r="S5" s="534">
        <f t="shared" ca="1" si="0"/>
        <v>0</v>
      </c>
      <c r="T5" s="534" t="e">
        <f t="shared" ref="T5:T31" ca="1" si="4">$T$1*P5</f>
        <v>#VALUE!</v>
      </c>
      <c r="U5" s="534">
        <f t="shared" ref="U5:U51" ca="1" si="5">$U$1*Q5</f>
        <v>0</v>
      </c>
      <c r="V5" s="534" t="e">
        <f t="shared" ca="1" si="1"/>
        <v>#VALUE!</v>
      </c>
      <c r="W5" s="81" t="e">
        <f t="shared" ca="1" si="2"/>
        <v>#VALUE!</v>
      </c>
      <c r="X5" s="81">
        <f ca="1">IF($M$4&lt;&gt;-7,(($X$9-$N$4)/($O$9-$M$4))*(O5-$M$4)+$N$4,0.1)</f>
        <v>0</v>
      </c>
      <c r="Y5" s="534" t="e">
        <f t="shared" ref="Y5:Y15" ca="1" si="6">V5/X5</f>
        <v>#VALUE!</v>
      </c>
      <c r="Z5" s="534" t="e">
        <f t="shared" ref="Z5:Z31" ca="1" si="7">IF((Y5-S5)&lt;0,0,(Y5-S5))</f>
        <v>#VALUE!</v>
      </c>
      <c r="AA5" s="534" t="e">
        <f t="shared" ref="AA5:AA31" ca="1" si="8">$AA$1*P5</f>
        <v>#VALUE!</v>
      </c>
      <c r="AB5" s="534" t="e">
        <f t="shared" ref="AB5:AB31" ca="1" si="9">X5*Z5</f>
        <v>#VALUE!</v>
      </c>
      <c r="AC5" s="535" t="e">
        <f t="shared" ref="AC5:AC31" ca="1" si="10">AA5+AB5</f>
        <v>#VALUE!</v>
      </c>
      <c r="AF5" s="80">
        <v>0.2</v>
      </c>
      <c r="AG5" s="80">
        <v>0.4</v>
      </c>
      <c r="AH5" s="80">
        <v>0.53</v>
      </c>
      <c r="AI5" s="80">
        <v>0.64</v>
      </c>
    </row>
    <row r="6" spans="1:35" ht="14.25">
      <c r="A6" s="523" t="s">
        <v>488</v>
      </c>
      <c r="B6" s="523" t="s">
        <v>489</v>
      </c>
      <c r="C6" s="80">
        <f ca="1">IF(LEFT($E$98,3)="Air",C3,
IF(LEFT($E$98,5)="Water",10,
IF($E$98="Direct exchange (DX)",4,
IF(LEFT($E$98,7)="Exhaust",20,
0))))</f>
        <v>0</v>
      </c>
      <c r="D6" s="80">
        <f ca="1">IF(LEFT($E$98,3)="Air",D3,
IF(LEFT($E$98,5)="Water",10,
IF($E$98="Direct exchange (DX)",4,
IF(LEFT($E$98,7)="Exhaust",20,
0))))</f>
        <v>-7</v>
      </c>
      <c r="E6" s="80">
        <f ca="1">IF(LEFT($E$98,3)="Air",E3,
IF(LEFT($E$98,5)="Water",10,
IF($E$98="Direct exchange (DX)",4,
IF(LEFT($E$98,7)="Exhaust",20,
0))))</f>
        <v>2</v>
      </c>
      <c r="F6" s="80">
        <f ca="1">IF(LEFT($E$98,3)="Air",F3,
IF(LEFT($E$98,5)="Water",10,
IF($E$98="Direct exchange (DX)",4,
IF(LEFT($E$98,7)="Exhaust",20,
0))))</f>
        <v>7</v>
      </c>
      <c r="G6" s="80">
        <f ca="1">IF(LEFT($E$98,3)="Air",G3,
IF(LEFT($E$98,5)="Water",10,
IF($E$98="Direct exchange (DX)",4,
IF(LEFT($E$98,7)="Exhaust",20,
0))))</f>
        <v>12</v>
      </c>
      <c r="I6" s="536"/>
      <c r="J6" s="527"/>
      <c r="N6" s="82"/>
      <c r="O6" s="531">
        <f t="shared" si="3"/>
        <v>-10</v>
      </c>
      <c r="P6" s="532">
        <f>'Meteorological data'!F6</f>
        <v>0</v>
      </c>
      <c r="Q6" s="532">
        <f>'Meteorological data'!G6</f>
        <v>0</v>
      </c>
      <c r="R6" s="533">
        <v>0</v>
      </c>
      <c r="S6" s="534">
        <f t="shared" ca="1" si="0"/>
        <v>0</v>
      </c>
      <c r="T6" s="534" t="e">
        <f ca="1">$T$1*P6</f>
        <v>#VALUE!</v>
      </c>
      <c r="U6" s="534">
        <f t="shared" ca="1" si="5"/>
        <v>0</v>
      </c>
      <c r="V6" s="534" t="e">
        <f t="shared" ca="1" si="1"/>
        <v>#VALUE!</v>
      </c>
      <c r="W6" s="81" t="e">
        <f t="shared" ca="1" si="2"/>
        <v>#VALUE!</v>
      </c>
      <c r="X6" s="81">
        <f ca="1">IF($M$4&lt;&gt;-7,(($X$9-$N$4)/($O$9-$M$4))*(O6-$M$4)+$N$4,0.1)</f>
        <v>0</v>
      </c>
      <c r="Y6" s="534" t="e">
        <f t="shared" ca="1" si="6"/>
        <v>#VALUE!</v>
      </c>
      <c r="Z6" s="534" t="e">
        <f t="shared" ca="1" si="7"/>
        <v>#VALUE!</v>
      </c>
      <c r="AA6" s="534" t="e">
        <f t="shared" ca="1" si="8"/>
        <v>#VALUE!</v>
      </c>
      <c r="AB6" s="534" t="e">
        <f t="shared" ca="1" si="9"/>
        <v>#VALUE!</v>
      </c>
      <c r="AC6" s="535" t="e">
        <f t="shared" ca="1" si="10"/>
        <v>#VALUE!</v>
      </c>
      <c r="AD6" s="523"/>
      <c r="AF6" s="80">
        <v>0.25</v>
      </c>
      <c r="AG6" s="80">
        <v>0.28000000000000003</v>
      </c>
      <c r="AH6" s="80">
        <v>0.43</v>
      </c>
      <c r="AI6" s="80">
        <v>0.56999999999999995</v>
      </c>
    </row>
    <row r="7" spans="1:35">
      <c r="A7" s="80" t="s">
        <v>490</v>
      </c>
      <c r="B7" s="528" t="s">
        <v>491</v>
      </c>
      <c r="C7" s="81">
        <f>('Meteorological data'!E8-'Meteorological data'!E4)/'Meteorological data'!E31</f>
        <v>0</v>
      </c>
      <c r="D7" s="81">
        <f>('Meteorological data'!E14-'Meteorological data'!E8)/'Meteorological data'!E31</f>
        <v>5.8820364757993654E-3</v>
      </c>
      <c r="E7" s="81">
        <f>('Meteorological data'!E20-'Meteorological data'!E14)/'Meteorological data'!E31</f>
        <v>0.30193856141168873</v>
      </c>
      <c r="F7" s="81">
        <f>('Meteorological data'!E25-'Meteorological data'!E20)/'Meteorological data'!E31</f>
        <v>0.46292344386062445</v>
      </c>
      <c r="G7" s="81">
        <f>('Meteorological data'!E31-'Meteorological data'!E25)/'Meteorological data'!E31</f>
        <v>0.22925595825188747</v>
      </c>
      <c r="H7" s="81">
        <f t="shared" ref="H7:H12" si="11">SUM(C7:G7)</f>
        <v>1</v>
      </c>
      <c r="J7" s="527"/>
      <c r="L7" s="527"/>
      <c r="N7" s="523"/>
      <c r="O7" s="531">
        <f t="shared" si="3"/>
        <v>-9</v>
      </c>
      <c r="P7" s="532">
        <f>'Meteorological data'!F7</f>
        <v>0</v>
      </c>
      <c r="Q7" s="532">
        <f>'Meteorological data'!G7</f>
        <v>0</v>
      </c>
      <c r="R7" s="533">
        <v>0</v>
      </c>
      <c r="S7" s="534">
        <f t="shared" ca="1" si="0"/>
        <v>0</v>
      </c>
      <c r="T7" s="534" t="e">
        <f t="shared" ca="1" si="4"/>
        <v>#VALUE!</v>
      </c>
      <c r="U7" s="534">
        <f t="shared" ca="1" si="5"/>
        <v>0</v>
      </c>
      <c r="V7" s="534" t="e">
        <f t="shared" ca="1" si="1"/>
        <v>#VALUE!</v>
      </c>
      <c r="W7" s="81" t="e">
        <f t="shared" ca="1" si="2"/>
        <v>#VALUE!</v>
      </c>
      <c r="X7" s="81">
        <f ca="1">IF($M$4&lt;&gt;-7,(($X$9-$N$4)/($O$9-$M$4))*(O7-$M$4)+$N$4,0.1)</f>
        <v>0</v>
      </c>
      <c r="Y7" s="534" t="e">
        <f t="shared" ca="1" si="6"/>
        <v>#VALUE!</v>
      </c>
      <c r="Z7" s="534" t="e">
        <f t="shared" ca="1" si="7"/>
        <v>#VALUE!</v>
      </c>
      <c r="AA7" s="534" t="e">
        <f t="shared" ca="1" si="8"/>
        <v>#VALUE!</v>
      </c>
      <c r="AB7" s="534" t="e">
        <f t="shared" ca="1" si="9"/>
        <v>#VALUE!</v>
      </c>
      <c r="AC7" s="535" t="e">
        <f t="shared" ca="1" si="10"/>
        <v>#VALUE!</v>
      </c>
      <c r="AF7" s="80">
        <v>0.3</v>
      </c>
      <c r="AG7" s="80">
        <v>0.19</v>
      </c>
      <c r="AH7" s="80">
        <v>0.34</v>
      </c>
      <c r="AI7" s="80">
        <v>0.49</v>
      </c>
    </row>
    <row r="8" spans="1:35">
      <c r="A8" s="523" t="s">
        <v>492</v>
      </c>
      <c r="B8" s="528" t="s">
        <v>493</v>
      </c>
      <c r="C8" s="81">
        <f ca="1">IF($E$94="No",$E$103*C7,(($E$103*$E$97/$E$96))*C7)</f>
        <v>0</v>
      </c>
      <c r="D8" s="81">
        <f ca="1">IF($E$94="No",$E$103*D7,(($E$103*$E$97/$E$96))*D7)</f>
        <v>0</v>
      </c>
      <c r="E8" s="81">
        <f ca="1">IF($E$94="No",$E$103*E7,(($E$103*$E$97/$E$96))*E7)</f>
        <v>0</v>
      </c>
      <c r="F8" s="81">
        <f ca="1">IF($E$94="No",$E$103*F7,(($E$103*$E$97/$E$96))*F7)</f>
        <v>0</v>
      </c>
      <c r="G8" s="81">
        <f ca="1">IF($E$94="No",$E$103*G7,(($E$103*$E$97/$E$96))*G7)</f>
        <v>0</v>
      </c>
      <c r="H8" s="81">
        <f t="shared" ca="1" si="11"/>
        <v>0</v>
      </c>
      <c r="J8" s="527"/>
      <c r="K8" s="523"/>
      <c r="M8" s="523"/>
      <c r="O8" s="531">
        <f t="shared" si="3"/>
        <v>-8</v>
      </c>
      <c r="P8" s="532">
        <f>'Meteorological data'!F8</f>
        <v>0</v>
      </c>
      <c r="Q8" s="532">
        <f>'Meteorological data'!G8</f>
        <v>0</v>
      </c>
      <c r="R8" s="533">
        <v>0</v>
      </c>
      <c r="S8" s="534">
        <f t="shared" ca="1" si="0"/>
        <v>0</v>
      </c>
      <c r="T8" s="534" t="e">
        <f t="shared" ca="1" si="4"/>
        <v>#VALUE!</v>
      </c>
      <c r="U8" s="534">
        <f t="shared" ca="1" si="5"/>
        <v>0</v>
      </c>
      <c r="V8" s="534" t="e">
        <f t="shared" ca="1" si="1"/>
        <v>#VALUE!</v>
      </c>
      <c r="W8" s="81" t="e">
        <f t="shared" ca="1" si="2"/>
        <v>#VALUE!</v>
      </c>
      <c r="X8" s="81">
        <f ca="1">IF($M$4&lt;&gt;-7,(($X$9-$N$4)/($O$9-$M$4))*(O8-$M$4)+$N$4,0.1)</f>
        <v>0</v>
      </c>
      <c r="Y8" s="534" t="e">
        <f t="shared" ca="1" si="6"/>
        <v>#VALUE!</v>
      </c>
      <c r="Z8" s="534" t="e">
        <f t="shared" ca="1" si="7"/>
        <v>#VALUE!</v>
      </c>
      <c r="AA8" s="534" t="e">
        <f t="shared" ca="1" si="8"/>
        <v>#VALUE!</v>
      </c>
      <c r="AB8" s="534" t="e">
        <f t="shared" ca="1" si="9"/>
        <v>#VALUE!</v>
      </c>
      <c r="AC8" s="535" t="e">
        <f t="shared" ca="1" si="10"/>
        <v>#VALUE!</v>
      </c>
      <c r="AF8" s="80">
        <v>0.35</v>
      </c>
      <c r="AG8" s="80">
        <v>0.12</v>
      </c>
      <c r="AH8" s="80">
        <v>0.27</v>
      </c>
      <c r="AI8" s="80">
        <v>0.42</v>
      </c>
    </row>
    <row r="9" spans="1:35">
      <c r="A9" s="523" t="s">
        <v>469</v>
      </c>
      <c r="B9" s="528" t="s">
        <v>494</v>
      </c>
      <c r="C9" s="80">
        <f>('Meteorological data'!C8-'Meteorological data'!C4)</f>
        <v>0</v>
      </c>
      <c r="D9" s="80">
        <f>('Meteorological data'!C14-'Meteorological data'!C8)</f>
        <v>18</v>
      </c>
      <c r="E9" s="80">
        <f>('Meteorological data'!C20-'Meteorological data'!C14)</f>
        <v>1247</v>
      </c>
      <c r="F9" s="80">
        <f>('Meteorological data'!C25-'Meteorological data'!C20)</f>
        <v>2933</v>
      </c>
      <c r="G9" s="80">
        <f>('Meteorological data'!C51-'Meteorological data'!C25)</f>
        <v>4562</v>
      </c>
      <c r="H9" s="81">
        <f t="shared" si="11"/>
        <v>8760</v>
      </c>
      <c r="J9" s="527"/>
      <c r="K9" s="527"/>
      <c r="M9" s="527"/>
      <c r="O9" s="537">
        <f t="shared" si="3"/>
        <v>-7</v>
      </c>
      <c r="P9" s="538">
        <f>'Meteorological data'!F9</f>
        <v>0</v>
      </c>
      <c r="Q9" s="538">
        <f>'Meteorological data'!G9</f>
        <v>0</v>
      </c>
      <c r="R9" s="539">
        <v>0</v>
      </c>
      <c r="S9" s="540">
        <f t="shared" ca="1" si="0"/>
        <v>0</v>
      </c>
      <c r="T9" s="540" t="e">
        <f t="shared" ca="1" si="4"/>
        <v>#VALUE!</v>
      </c>
      <c r="U9" s="540">
        <f t="shared" ca="1" si="5"/>
        <v>0</v>
      </c>
      <c r="V9" s="534" t="e">
        <f t="shared" ca="1" si="1"/>
        <v>#VALUE!</v>
      </c>
      <c r="W9" s="541" t="e">
        <f t="shared" ca="1" si="2"/>
        <v>#VALUE!</v>
      </c>
      <c r="X9" s="541">
        <f ca="1">D41</f>
        <v>0</v>
      </c>
      <c r="Y9" s="540" t="e">
        <f t="shared" ca="1" si="6"/>
        <v>#VALUE!</v>
      </c>
      <c r="Z9" s="540" t="e">
        <f t="shared" ca="1" si="7"/>
        <v>#VALUE!</v>
      </c>
      <c r="AA9" s="540" t="e">
        <f t="shared" ca="1" si="8"/>
        <v>#VALUE!</v>
      </c>
      <c r="AB9" s="540" t="e">
        <f t="shared" ca="1" si="9"/>
        <v>#VALUE!</v>
      </c>
      <c r="AC9" s="542" t="e">
        <f t="shared" ca="1" si="10"/>
        <v>#VALUE!</v>
      </c>
      <c r="AF9" s="80">
        <v>0.4</v>
      </c>
      <c r="AG9" s="80">
        <v>0.06</v>
      </c>
      <c r="AH9" s="80">
        <v>0.2</v>
      </c>
      <c r="AI9" s="80">
        <v>0.35</v>
      </c>
    </row>
    <row r="10" spans="1:35">
      <c r="A10" s="523" t="s">
        <v>470</v>
      </c>
      <c r="B10" s="528" t="s">
        <v>495</v>
      </c>
      <c r="C10" s="80">
        <f ca="1">C9*((24-$E$112)/24)</f>
        <v>0</v>
      </c>
      <c r="D10" s="80">
        <f ca="1">D9*((24-$E$112)/24)</f>
        <v>6</v>
      </c>
      <c r="E10" s="80">
        <f ca="1">E9*((24-$E$112)/24)</f>
        <v>415.66666666666663</v>
      </c>
      <c r="F10" s="80">
        <f ca="1">F9*((24-$E$112)/24)</f>
        <v>977.66666666666663</v>
      </c>
      <c r="G10" s="80">
        <f ca="1">G9*((24-$E$112)/24)</f>
        <v>1520.6666666666665</v>
      </c>
      <c r="H10" s="81">
        <f t="shared" ca="1" si="11"/>
        <v>2920</v>
      </c>
      <c r="J10" s="527"/>
      <c r="K10" s="523"/>
      <c r="M10" s="523"/>
      <c r="O10" s="531">
        <f t="shared" si="3"/>
        <v>-6</v>
      </c>
      <c r="P10" s="532">
        <f>'Meteorological data'!F10</f>
        <v>0</v>
      </c>
      <c r="Q10" s="532">
        <f>'Meteorological data'!G10</f>
        <v>0</v>
      </c>
      <c r="R10" s="533">
        <v>0</v>
      </c>
      <c r="S10" s="534">
        <f t="shared" ca="1" si="0"/>
        <v>0</v>
      </c>
      <c r="T10" s="534" t="e">
        <f t="shared" ca="1" si="4"/>
        <v>#VALUE!</v>
      </c>
      <c r="U10" s="534">
        <f t="shared" ca="1" si="5"/>
        <v>0</v>
      </c>
      <c r="V10" s="534" t="e">
        <f t="shared" ca="1" si="1"/>
        <v>#VALUE!</v>
      </c>
      <c r="W10" s="81" t="e">
        <f t="shared" ca="1" si="2"/>
        <v>#VALUE!</v>
      </c>
      <c r="X10" s="81">
        <f ca="1">(($X$18-$X$9)/($O$18-$O$9))*(O10-$O$9)+$X$9</f>
        <v>0</v>
      </c>
      <c r="Y10" s="534" t="e">
        <f t="shared" ca="1" si="6"/>
        <v>#VALUE!</v>
      </c>
      <c r="Z10" s="534" t="e">
        <f t="shared" ca="1" si="7"/>
        <v>#VALUE!</v>
      </c>
      <c r="AA10" s="534" t="e">
        <f t="shared" ca="1" si="8"/>
        <v>#VALUE!</v>
      </c>
      <c r="AB10" s="534" t="e">
        <f t="shared" ca="1" si="9"/>
        <v>#VALUE!</v>
      </c>
      <c r="AC10" s="535" t="e">
        <f t="shared" ca="1" si="10"/>
        <v>#VALUE!</v>
      </c>
      <c r="AF10" s="80">
        <v>0.45</v>
      </c>
      <c r="AG10" s="80">
        <v>0.03</v>
      </c>
      <c r="AH10" s="80">
        <v>0.14000000000000001</v>
      </c>
      <c r="AI10" s="80">
        <v>0.28999999999999998</v>
      </c>
    </row>
    <row r="11" spans="1:35">
      <c r="A11" s="80" t="s">
        <v>496</v>
      </c>
      <c r="B11" s="528" t="s">
        <v>497</v>
      </c>
      <c r="C11" s="81">
        <f ca="1">C10/$H$10</f>
        <v>0</v>
      </c>
      <c r="D11" s="81">
        <f ca="1">D10/$H$10</f>
        <v>2.054794520547945E-3</v>
      </c>
      <c r="E11" s="81">
        <f ca="1">E10/$H$10</f>
        <v>0.14235159817351598</v>
      </c>
      <c r="F11" s="81">
        <f ca="1">F10/$H$10</f>
        <v>0.3348173515981735</v>
      </c>
      <c r="G11" s="81">
        <f ca="1">G10/$H$10</f>
        <v>0.52077625570776254</v>
      </c>
      <c r="H11" s="81">
        <f t="shared" ca="1" si="11"/>
        <v>1</v>
      </c>
      <c r="J11" s="82"/>
      <c r="O11" s="531">
        <f t="shared" si="3"/>
        <v>-5</v>
      </c>
      <c r="P11" s="532">
        <f>'Meteorological data'!F11</f>
        <v>0</v>
      </c>
      <c r="Q11" s="532">
        <f>'Meteorological data'!G11</f>
        <v>0</v>
      </c>
      <c r="R11" s="533">
        <v>0</v>
      </c>
      <c r="S11" s="534">
        <f t="shared" ca="1" si="0"/>
        <v>0</v>
      </c>
      <c r="T11" s="534" t="e">
        <f t="shared" ca="1" si="4"/>
        <v>#VALUE!</v>
      </c>
      <c r="U11" s="534">
        <f t="shared" ca="1" si="5"/>
        <v>0</v>
      </c>
      <c r="V11" s="534" t="e">
        <f t="shared" ca="1" si="1"/>
        <v>#VALUE!</v>
      </c>
      <c r="W11" s="81" t="e">
        <f t="shared" ca="1" si="2"/>
        <v>#VALUE!</v>
      </c>
      <c r="X11" s="81">
        <f t="shared" ref="X11:X17" ca="1" si="12">(($X$18-$X$9)/($O$18-$O$9))*(O11-$O$9)+$X$9</f>
        <v>0</v>
      </c>
      <c r="Y11" s="534" t="e">
        <f t="shared" ca="1" si="6"/>
        <v>#VALUE!</v>
      </c>
      <c r="Z11" s="534" t="e">
        <f t="shared" ca="1" si="7"/>
        <v>#VALUE!</v>
      </c>
      <c r="AA11" s="534" t="e">
        <f t="shared" ca="1" si="8"/>
        <v>#VALUE!</v>
      </c>
      <c r="AB11" s="534" t="e">
        <f t="shared" ca="1" si="9"/>
        <v>#VALUE!</v>
      </c>
      <c r="AC11" s="535" t="e">
        <f t="shared" ca="1" si="10"/>
        <v>#VALUE!</v>
      </c>
      <c r="AF11" s="80">
        <v>0.5</v>
      </c>
      <c r="AG11" s="80">
        <v>0.01</v>
      </c>
      <c r="AH11" s="80">
        <v>0.09</v>
      </c>
      <c r="AI11" s="80">
        <v>0.24</v>
      </c>
    </row>
    <row r="12" spans="1:35">
      <c r="A12" s="523" t="s">
        <v>498</v>
      </c>
      <c r="B12" s="528" t="s">
        <v>499</v>
      </c>
      <c r="C12" s="81">
        <f ca="1">IF($E$94="No",$E$135*C11,(($E$135*$E$97/$E$96))*C11)</f>
        <v>0</v>
      </c>
      <c r="D12" s="81">
        <f ca="1">IF($E$94="No",$E$135*D11,(($E$135*$E$97/$E$96))*D11)</f>
        <v>0</v>
      </c>
      <c r="E12" s="81">
        <f ca="1">IF($E$94="No",$E$135*E11,(($E$135*$E$97/$E$96))*E11)</f>
        <v>0</v>
      </c>
      <c r="F12" s="81">
        <f ca="1">IF($E$94="No",$E$135*F11,(($E$135*$E$97/$E$96))*F11)</f>
        <v>0</v>
      </c>
      <c r="G12" s="81">
        <f ca="1">IF($E$94="No",$E$135*G11,(($E$135*$E$97/$E$96))*G11)</f>
        <v>0</v>
      </c>
      <c r="H12" s="81">
        <f t="shared" ca="1" si="11"/>
        <v>0</v>
      </c>
      <c r="I12" s="523"/>
      <c r="J12" s="527"/>
      <c r="K12" s="523"/>
      <c r="M12" s="523"/>
      <c r="N12" s="523"/>
      <c r="O12" s="531">
        <f t="shared" si="3"/>
        <v>-4</v>
      </c>
      <c r="P12" s="532">
        <f>'Meteorological data'!F12</f>
        <v>0</v>
      </c>
      <c r="Q12" s="532">
        <f>'Meteorological data'!G12</f>
        <v>0</v>
      </c>
      <c r="R12" s="533">
        <v>0</v>
      </c>
      <c r="S12" s="534">
        <f t="shared" ca="1" si="0"/>
        <v>0</v>
      </c>
      <c r="T12" s="534" t="e">
        <f t="shared" ca="1" si="4"/>
        <v>#VALUE!</v>
      </c>
      <c r="U12" s="534">
        <f t="shared" ca="1" si="5"/>
        <v>0</v>
      </c>
      <c r="V12" s="534" t="e">
        <f t="shared" ca="1" si="1"/>
        <v>#VALUE!</v>
      </c>
      <c r="W12" s="81" t="e">
        <f t="shared" ca="1" si="2"/>
        <v>#VALUE!</v>
      </c>
      <c r="X12" s="81">
        <f t="shared" ca="1" si="12"/>
        <v>0</v>
      </c>
      <c r="Y12" s="534" t="e">
        <f t="shared" ca="1" si="6"/>
        <v>#VALUE!</v>
      </c>
      <c r="Z12" s="534" t="e">
        <f t="shared" ca="1" si="7"/>
        <v>#VALUE!</v>
      </c>
      <c r="AA12" s="534" t="e">
        <f t="shared" ca="1" si="8"/>
        <v>#VALUE!</v>
      </c>
      <c r="AB12" s="534" t="e">
        <f t="shared" ca="1" si="9"/>
        <v>#VALUE!</v>
      </c>
      <c r="AC12" s="535" t="e">
        <f t="shared" ca="1" si="10"/>
        <v>#VALUE!</v>
      </c>
      <c r="AF12" s="80">
        <v>0.55000000000000004</v>
      </c>
      <c r="AG12" s="80">
        <v>0</v>
      </c>
      <c r="AH12" s="80">
        <v>0.06</v>
      </c>
      <c r="AI12" s="80">
        <v>0.19</v>
      </c>
    </row>
    <row r="13" spans="1:35">
      <c r="A13" s="80" t="s">
        <v>23</v>
      </c>
      <c r="B13" s="80" t="s">
        <v>23</v>
      </c>
      <c r="J13" s="527"/>
      <c r="O13" s="531">
        <f t="shared" si="3"/>
        <v>-3</v>
      </c>
      <c r="P13" s="532">
        <f>'Meteorological data'!F13</f>
        <v>1.3629108907339993E-3</v>
      </c>
      <c r="Q13" s="532">
        <f>'Meteorological data'!G13</f>
        <v>4.5662100456621003E-4</v>
      </c>
      <c r="R13" s="533">
        <v>4</v>
      </c>
      <c r="S13" s="534">
        <f t="shared" ca="1" si="0"/>
        <v>1.3333333333333333</v>
      </c>
      <c r="T13" s="534" t="e">
        <f t="shared" ca="1" si="4"/>
        <v>#VALUE!</v>
      </c>
      <c r="U13" s="534">
        <f t="shared" ca="1" si="5"/>
        <v>0</v>
      </c>
      <c r="V13" s="534" t="e">
        <f t="shared" ca="1" si="1"/>
        <v>#VALUE!</v>
      </c>
      <c r="W13" s="81" t="e">
        <f t="shared" ca="1" si="2"/>
        <v>#VALUE!</v>
      </c>
      <c r="X13" s="81">
        <f t="shared" ca="1" si="12"/>
        <v>0</v>
      </c>
      <c r="Y13" s="534" t="e">
        <f ca="1">V13/X13</f>
        <v>#VALUE!</v>
      </c>
      <c r="Z13" s="534" t="e">
        <f ca="1">IF((Y13-S13)&lt;0,0,(Y13-S13))</f>
        <v>#VALUE!</v>
      </c>
      <c r="AA13" s="534" t="e">
        <f t="shared" ca="1" si="8"/>
        <v>#VALUE!</v>
      </c>
      <c r="AB13" s="534" t="e">
        <f t="shared" ca="1" si="9"/>
        <v>#VALUE!</v>
      </c>
      <c r="AC13" s="535" t="e">
        <f t="shared" ca="1" si="10"/>
        <v>#VALUE!</v>
      </c>
      <c r="AF13" s="80">
        <v>0.6</v>
      </c>
      <c r="AG13" s="80">
        <v>0</v>
      </c>
      <c r="AH13" s="80">
        <v>0.03</v>
      </c>
      <c r="AI13" s="80">
        <v>0.15</v>
      </c>
    </row>
    <row r="14" spans="1:35">
      <c r="A14" s="524" t="s">
        <v>500</v>
      </c>
      <c r="C14" s="81">
        <f ca="1">E101</f>
        <v>0</v>
      </c>
      <c r="D14" s="80">
        <v>-7</v>
      </c>
      <c r="E14" s="80">
        <v>2</v>
      </c>
      <c r="F14" s="80">
        <v>7</v>
      </c>
      <c r="G14" s="80">
        <v>12</v>
      </c>
      <c r="J14" s="527"/>
      <c r="O14" s="531">
        <f t="shared" si="3"/>
        <v>-2</v>
      </c>
      <c r="P14" s="532">
        <f>'Meteorological data'!F14</f>
        <v>4.5191255850653657E-3</v>
      </c>
      <c r="Q14" s="532">
        <f>'Meteorological data'!G14</f>
        <v>1.5981735159817352E-3</v>
      </c>
      <c r="R14" s="533">
        <v>14</v>
      </c>
      <c r="S14" s="534">
        <f t="shared" ca="1" si="0"/>
        <v>4.6666666666666661</v>
      </c>
      <c r="T14" s="534" t="e">
        <f t="shared" ca="1" si="4"/>
        <v>#VALUE!</v>
      </c>
      <c r="U14" s="534">
        <f ca="1">$U$1*Q14</f>
        <v>0</v>
      </c>
      <c r="V14" s="534" t="e">
        <f t="shared" ca="1" si="1"/>
        <v>#VALUE!</v>
      </c>
      <c r="W14" s="81" t="e">
        <f t="shared" ca="1" si="2"/>
        <v>#VALUE!</v>
      </c>
      <c r="X14" s="81">
        <f t="shared" ca="1" si="12"/>
        <v>0</v>
      </c>
      <c r="Y14" s="534" t="e">
        <f ca="1">V14/X14</f>
        <v>#VALUE!</v>
      </c>
      <c r="Z14" s="534" t="e">
        <f ca="1">IF((Y14-S14)&lt;0,0,(Y14-S14))</f>
        <v>#VALUE!</v>
      </c>
      <c r="AA14" s="534" t="e">
        <f t="shared" ca="1" si="8"/>
        <v>#VALUE!</v>
      </c>
      <c r="AB14" s="534" t="e">
        <f t="shared" ca="1" si="9"/>
        <v>#VALUE!</v>
      </c>
      <c r="AC14" s="535" t="e">
        <f t="shared" ca="1" si="10"/>
        <v>#VALUE!</v>
      </c>
      <c r="AF14" s="80">
        <v>0.65</v>
      </c>
      <c r="AG14" s="80">
        <v>0</v>
      </c>
      <c r="AH14" s="80">
        <v>0.02</v>
      </c>
      <c r="AI14" s="80">
        <v>0.11</v>
      </c>
    </row>
    <row r="15" spans="1:35" ht="15.75">
      <c r="A15" s="543" t="str">
        <f ca="1">$E119&amp;" (oC)"</f>
        <v>Low Temperature (oC)</v>
      </c>
      <c r="B15" s="544" t="str">
        <f ca="1">"Based on test data according to "&amp;$E$100</f>
        <v>Based on test data according to I.S. EN 14825</v>
      </c>
      <c r="C15" s="545">
        <f ca="1">IF($E$128="Yes",IF($E$99="Variable Outlet",35,35),0)</f>
        <v>0</v>
      </c>
      <c r="D15" s="545">
        <f ca="1">IF($E$128="Yes",IF($E$99="Variable Outlet",34,35),0)</f>
        <v>0</v>
      </c>
      <c r="E15" s="545">
        <f ca="1">IF($E$128="Yes",IF($E$99="Variable Outlet",30,35),0)</f>
        <v>0</v>
      </c>
      <c r="F15" s="545">
        <f ca="1">IF($E$128="Yes",IF($E$99="Variable Outlet",27,35),0)</f>
        <v>0</v>
      </c>
      <c r="G15" s="546">
        <f ca="1">IF($E$128="Yes",IF($E$99="Variable Outlet",24,35),0)</f>
        <v>0</v>
      </c>
      <c r="I15" s="38"/>
      <c r="J15" s="527"/>
      <c r="K15" s="523"/>
      <c r="M15" s="523"/>
      <c r="O15" s="531">
        <f t="shared" si="3"/>
        <v>-1</v>
      </c>
      <c r="P15" s="532">
        <f>'Meteorological data'!F15</f>
        <v>1.3413912450908309E-2</v>
      </c>
      <c r="Q15" s="532">
        <f>'Meteorological data'!G15</f>
        <v>5.0228310502283104E-3</v>
      </c>
      <c r="R15" s="533">
        <v>44</v>
      </c>
      <c r="S15" s="534">
        <f t="shared" ca="1" si="0"/>
        <v>14.666666666666666</v>
      </c>
      <c r="T15" s="534" t="e">
        <f t="shared" ca="1" si="4"/>
        <v>#VALUE!</v>
      </c>
      <c r="U15" s="534">
        <f t="shared" ca="1" si="5"/>
        <v>0</v>
      </c>
      <c r="V15" s="534" t="e">
        <f t="shared" ca="1" si="1"/>
        <v>#VALUE!</v>
      </c>
      <c r="W15" s="81" t="e">
        <f t="shared" ca="1" si="2"/>
        <v>#VALUE!</v>
      </c>
      <c r="X15" s="81">
        <f t="shared" ca="1" si="12"/>
        <v>0</v>
      </c>
      <c r="Y15" s="534" t="e">
        <f t="shared" ca="1" si="6"/>
        <v>#VALUE!</v>
      </c>
      <c r="Z15" s="534" t="e">
        <f ca="1">IF((Y15-S15)&lt;0,0,(Y15-S15))</f>
        <v>#VALUE!</v>
      </c>
      <c r="AA15" s="534" t="e">
        <f t="shared" ca="1" si="8"/>
        <v>#VALUE!</v>
      </c>
      <c r="AB15" s="534" t="e">
        <f t="shared" ca="1" si="9"/>
        <v>#VALUE!</v>
      </c>
      <c r="AC15" s="535" t="e">
        <f t="shared" ca="1" si="10"/>
        <v>#VALUE!</v>
      </c>
      <c r="AF15" s="80">
        <v>0.7</v>
      </c>
      <c r="AG15" s="80">
        <v>0</v>
      </c>
      <c r="AH15" s="80">
        <v>0.01</v>
      </c>
      <c r="AI15" s="80">
        <v>0.09</v>
      </c>
    </row>
    <row r="16" spans="1:35" ht="15.75">
      <c r="A16" s="528" t="str">
        <f t="shared" ref="A16:A18" ca="1" si="13">$E120&amp;" (oC)"</f>
        <v>Medium Temperature (oC)</v>
      </c>
      <c r="B16" s="547" t="str">
        <f ca="1">$B$15</f>
        <v>Based on test data according to I.S. EN 14825</v>
      </c>
      <c r="C16" s="548">
        <f ca="1">IF($E$129="Yes",IF($E$99="Variable Outlet",45,45),0)</f>
        <v>0</v>
      </c>
      <c r="D16" s="548">
        <f ca="1">IF($E$129="Yes",IF($E$99="Variable Outlet",43,45),0)</f>
        <v>0</v>
      </c>
      <c r="E16" s="548">
        <f ca="1">IF($E$129="Yes",IF($E$99="Variable Outlet",37,45),0)</f>
        <v>0</v>
      </c>
      <c r="F16" s="548">
        <f ca="1">IF($E$129="Yes",IF($E$99="Variable Outlet",33,45),0)</f>
        <v>0</v>
      </c>
      <c r="G16" s="549">
        <f ca="1">IF($E$129="Yes",IF($E$99="Variable Outlet",28,45),0)</f>
        <v>0</v>
      </c>
      <c r="I16" s="38"/>
      <c r="J16" s="527"/>
      <c r="O16" s="531">
        <f t="shared" si="3"/>
        <v>0</v>
      </c>
      <c r="P16" s="532">
        <f>'Meteorological data'!F16</f>
        <v>3.2136004160464825E-2</v>
      </c>
      <c r="Q16" s="532">
        <f>'Meteorological data'!G16</f>
        <v>1.2785388127853882E-2</v>
      </c>
      <c r="R16" s="533">
        <v>112</v>
      </c>
      <c r="S16" s="534">
        <f t="shared" ca="1" si="0"/>
        <v>37.333333333333329</v>
      </c>
      <c r="T16" s="534" t="e">
        <f t="shared" ca="1" si="4"/>
        <v>#VALUE!</v>
      </c>
      <c r="U16" s="534">
        <f ca="1">$U$1*Q16</f>
        <v>0</v>
      </c>
      <c r="V16" s="534" t="e">
        <f t="shared" ca="1" si="1"/>
        <v>#VALUE!</v>
      </c>
      <c r="W16" s="81" t="e">
        <f t="shared" ca="1" si="2"/>
        <v>#VALUE!</v>
      </c>
      <c r="X16" s="81">
        <f t="shared" ca="1" si="12"/>
        <v>0</v>
      </c>
      <c r="Y16" s="534" t="e">
        <f ca="1">V16/X16</f>
        <v>#VALUE!</v>
      </c>
      <c r="Z16" s="534" t="e">
        <f ca="1">IF((Y16-S16)&lt;0,0,(Y16-S16))</f>
        <v>#VALUE!</v>
      </c>
      <c r="AA16" s="534" t="e">
        <f t="shared" ca="1" si="8"/>
        <v>#VALUE!</v>
      </c>
      <c r="AB16" s="534" t="e">
        <f t="shared" ca="1" si="9"/>
        <v>#VALUE!</v>
      </c>
      <c r="AC16" s="535" t="e">
        <f t="shared" ca="1" si="10"/>
        <v>#VALUE!</v>
      </c>
      <c r="AF16" s="80">
        <v>0.75</v>
      </c>
      <c r="AG16" s="80">
        <v>0</v>
      </c>
      <c r="AH16" s="80">
        <v>0</v>
      </c>
      <c r="AI16" s="80">
        <v>0.05</v>
      </c>
    </row>
    <row r="17" spans="1:35" ht="27.75" customHeight="1">
      <c r="A17" s="528" t="str">
        <f t="shared" ca="1" si="13"/>
        <v>High Temperature (oC)</v>
      </c>
      <c r="B17" s="547" t="str">
        <f ca="1">$B$15</f>
        <v>Based on test data according to I.S. EN 14825</v>
      </c>
      <c r="C17" s="548">
        <f ca="1">IF($E$127="Yes",IF($E$99="Variable Outlet",55,55),0)</f>
        <v>55</v>
      </c>
      <c r="D17" s="548">
        <f ca="1">IF($E$127="Yes",IF($E$99="Variable Outlet",52,55),0)</f>
        <v>55</v>
      </c>
      <c r="E17" s="548">
        <f ca="1">IF($E$127="Yes",IF($E$99="Variable Outlet",42,55),0)</f>
        <v>55</v>
      </c>
      <c r="F17" s="548">
        <f ca="1">IF($E$127="Yes",IF($E$99="Variable Outlet",36,55),0)</f>
        <v>55</v>
      </c>
      <c r="G17" s="549">
        <f ca="1">IF($E$127="Yes",IF($E$99="Variable Outlet",30,55),0)</f>
        <v>55</v>
      </c>
      <c r="I17" s="38" t="s">
        <v>501</v>
      </c>
      <c r="J17" s="527"/>
      <c r="O17" s="531">
        <f t="shared" si="3"/>
        <v>1</v>
      </c>
      <c r="P17" s="532">
        <f>'Meteorological data'!F17</f>
        <v>3.927335329878235E-2</v>
      </c>
      <c r="Q17" s="532">
        <f>'Meteorological data'!G17</f>
        <v>1.6666666666666666E-2</v>
      </c>
      <c r="R17" s="533">
        <v>146</v>
      </c>
      <c r="S17" s="534">
        <f t="shared" ca="1" si="0"/>
        <v>48.666666666666664</v>
      </c>
      <c r="T17" s="534" t="e">
        <f t="shared" ca="1" si="4"/>
        <v>#VALUE!</v>
      </c>
      <c r="U17" s="534">
        <f t="shared" ca="1" si="5"/>
        <v>0</v>
      </c>
      <c r="V17" s="534" t="e">
        <f t="shared" ca="1" si="1"/>
        <v>#VALUE!</v>
      </c>
      <c r="W17" s="81" t="e">
        <f t="shared" ca="1" si="2"/>
        <v>#VALUE!</v>
      </c>
      <c r="X17" s="81">
        <f t="shared" ca="1" si="12"/>
        <v>0</v>
      </c>
      <c r="Y17" s="534" t="e">
        <f t="shared" ref="Y17:Y31" ca="1" si="14">V17/X17</f>
        <v>#VALUE!</v>
      </c>
      <c r="Z17" s="534" t="e">
        <f ca="1">IF((Y17-S17)&lt;0,0,(Y17-S17))</f>
        <v>#VALUE!</v>
      </c>
      <c r="AA17" s="534" t="e">
        <f t="shared" ca="1" si="8"/>
        <v>#VALUE!</v>
      </c>
      <c r="AB17" s="534" t="e">
        <f t="shared" ca="1" si="9"/>
        <v>#VALUE!</v>
      </c>
      <c r="AC17" s="535" t="e">
        <f t="shared" ca="1" si="10"/>
        <v>#VALUE!</v>
      </c>
      <c r="AF17" s="80">
        <v>0.8</v>
      </c>
      <c r="AG17" s="80">
        <v>0</v>
      </c>
      <c r="AH17" s="80">
        <v>0</v>
      </c>
      <c r="AI17" s="80">
        <v>0.05</v>
      </c>
    </row>
    <row r="18" spans="1:35" ht="15.75">
      <c r="A18" s="550" t="str">
        <f t="shared" ca="1" si="13"/>
        <v>Very high Temperature (oC)</v>
      </c>
      <c r="B18" s="547" t="str">
        <f ca="1">$B$15</f>
        <v>Based on test data according to I.S. EN 14825</v>
      </c>
      <c r="C18" s="551">
        <f ca="1">IF($E$130="Yes",65,0)</f>
        <v>0</v>
      </c>
      <c r="D18" s="551">
        <f ca="1">IF($E$130="Yes",IF($E$99="Variable Outlet",61,65),0)</f>
        <v>0</v>
      </c>
      <c r="E18" s="551">
        <f ca="1">IF($E$130="Yes",IF($E$99="Variable Outlet",49,65),0)</f>
        <v>0</v>
      </c>
      <c r="F18" s="551">
        <f ca="1">IF($E$130="Yes",IF($E$99="Variable Outlet",41,65),0)</f>
        <v>0</v>
      </c>
      <c r="G18" s="552">
        <f ca="1">IF($E$130="Yes",IF($E$99="Variable Outlet",32,65),0)</f>
        <v>0</v>
      </c>
      <c r="I18" s="39"/>
      <c r="J18" s="527"/>
      <c r="K18" s="523"/>
      <c r="M18" s="523"/>
      <c r="O18" s="537">
        <f t="shared" si="3"/>
        <v>2</v>
      </c>
      <c r="P18" s="538">
        <f>'Meteorological data'!F18</f>
        <v>5.5735882215806179E-2</v>
      </c>
      <c r="Q18" s="538">
        <f>'Meteorological data'!G18</f>
        <v>2.5342465753424658E-2</v>
      </c>
      <c r="R18" s="539">
        <v>222</v>
      </c>
      <c r="S18" s="540">
        <f t="shared" ca="1" si="0"/>
        <v>74</v>
      </c>
      <c r="T18" s="540" t="e">
        <f t="shared" ca="1" si="4"/>
        <v>#VALUE!</v>
      </c>
      <c r="U18" s="540">
        <f t="shared" ca="1" si="5"/>
        <v>0</v>
      </c>
      <c r="V18" s="534" t="e">
        <f t="shared" ca="1" si="1"/>
        <v>#VALUE!</v>
      </c>
      <c r="W18" s="541" t="e">
        <f t="shared" ca="1" si="2"/>
        <v>#VALUE!</v>
      </c>
      <c r="X18" s="541">
        <f ca="1">E41</f>
        <v>0</v>
      </c>
      <c r="Y18" s="540" t="e">
        <f ca="1">V18/X18</f>
        <v>#VALUE!</v>
      </c>
      <c r="Z18" s="540" t="e">
        <f t="shared" ca="1" si="7"/>
        <v>#VALUE!</v>
      </c>
      <c r="AA18" s="540" t="e">
        <f t="shared" ca="1" si="8"/>
        <v>#VALUE!</v>
      </c>
      <c r="AB18" s="534" t="e">
        <f t="shared" ca="1" si="9"/>
        <v>#VALUE!</v>
      </c>
      <c r="AC18" s="535" t="e">
        <f t="shared" ca="1" si="10"/>
        <v>#VALUE!</v>
      </c>
      <c r="AF18" s="80">
        <v>0.85</v>
      </c>
      <c r="AG18" s="80">
        <v>0</v>
      </c>
      <c r="AH18" s="80">
        <v>0</v>
      </c>
      <c r="AI18" s="80">
        <v>0.03</v>
      </c>
    </row>
    <row r="19" spans="1:35" ht="15.75">
      <c r="A19" s="543" t="str">
        <f ca="1">$E119&amp;" COP  (kW/kW)"</f>
        <v>Low Temperature COP  (kW/kW)</v>
      </c>
      <c r="B19" s="544" t="str">
        <f t="shared" ref="B19:B26" ca="1" si="15">$B$15</f>
        <v>Based on test data according to I.S. EN 14825</v>
      </c>
      <c r="C19" s="553">
        <f ca="1">INDEX($C$154:$G$161,MATCH($A19,$A$154:$A$161,0),MATCH(C$27,$C$152:$G$152,0))</f>
        <v>0</v>
      </c>
      <c r="D19" s="553">
        <f t="shared" ref="D19:G26" ca="1" si="16">INDEX($C$154:$G$161,MATCH($A19,$A$154:$A$161,0),MATCH(D$27,$C$152:$G$152,0))</f>
        <v>0</v>
      </c>
      <c r="E19" s="553">
        <f t="shared" ca="1" si="16"/>
        <v>0</v>
      </c>
      <c r="F19" s="553">
        <f t="shared" ca="1" si="16"/>
        <v>0</v>
      </c>
      <c r="G19" s="554">
        <f t="shared" ca="1" si="16"/>
        <v>0</v>
      </c>
      <c r="I19" s="38" t="s">
        <v>502</v>
      </c>
      <c r="J19" s="527"/>
      <c r="K19" s="523"/>
      <c r="M19" s="523"/>
      <c r="O19" s="531">
        <f t="shared" si="3"/>
        <v>3</v>
      </c>
      <c r="P19" s="532">
        <f>'Meteorological data'!F19</f>
        <v>7.5300826713053465E-2</v>
      </c>
      <c r="Q19" s="532">
        <f>'Meteorological data'!G19</f>
        <v>3.6872146118721458E-2</v>
      </c>
      <c r="R19" s="533">
        <v>323</v>
      </c>
      <c r="S19" s="534">
        <f t="shared" ca="1" si="0"/>
        <v>107.66666666666666</v>
      </c>
      <c r="T19" s="534" t="e">
        <f t="shared" ca="1" si="4"/>
        <v>#VALUE!</v>
      </c>
      <c r="U19" s="534">
        <f t="shared" ca="1" si="5"/>
        <v>0</v>
      </c>
      <c r="V19" s="534" t="e">
        <f t="shared" ca="1" si="1"/>
        <v>#VALUE!</v>
      </c>
      <c r="W19" s="81" t="e">
        <f t="shared" ca="1" si="2"/>
        <v>#VALUE!</v>
      </c>
      <c r="X19" s="81">
        <f ca="1">(($X$23-$X$18)/($O$23-$O$18))*(O19-$O$18)+$X$18</f>
        <v>0</v>
      </c>
      <c r="Y19" s="534" t="e">
        <f ca="1">V19/X19</f>
        <v>#VALUE!</v>
      </c>
      <c r="Z19" s="534" t="e">
        <f ca="1">IF((Y19-S19)&lt;0,0,(Y19-S19))</f>
        <v>#VALUE!</v>
      </c>
      <c r="AA19" s="534" t="e">
        <f t="shared" ca="1" si="8"/>
        <v>#VALUE!</v>
      </c>
      <c r="AB19" s="534" t="e">
        <f t="shared" ca="1" si="9"/>
        <v>#VALUE!</v>
      </c>
      <c r="AC19" s="535" t="e">
        <f t="shared" ca="1" si="10"/>
        <v>#VALUE!</v>
      </c>
      <c r="AF19" s="80">
        <v>0.9</v>
      </c>
      <c r="AG19" s="80">
        <v>0</v>
      </c>
      <c r="AH19" s="80">
        <v>0</v>
      </c>
      <c r="AI19" s="80">
        <v>0.02</v>
      </c>
    </row>
    <row r="20" spans="1:35" ht="15.75">
      <c r="A20" s="528" t="str">
        <f t="shared" ref="A20:A22" ca="1" si="17">$E120&amp;" COP  (kW/kW)"</f>
        <v>Medium Temperature COP  (kW/kW)</v>
      </c>
      <c r="B20" s="547" t="str">
        <f t="shared" ca="1" si="15"/>
        <v>Based on test data according to I.S. EN 14825</v>
      </c>
      <c r="C20" s="81">
        <f t="shared" ref="C20:C26" ca="1" si="18">INDEX($C$154:$G$161,MATCH($A20,$A$154:$A$161,0),MATCH(C$27,$C$152:$G$152,0))</f>
        <v>0</v>
      </c>
      <c r="D20" s="81">
        <f t="shared" ca="1" si="16"/>
        <v>0</v>
      </c>
      <c r="E20" s="81">
        <f t="shared" ca="1" si="16"/>
        <v>0</v>
      </c>
      <c r="F20" s="81">
        <f t="shared" ca="1" si="16"/>
        <v>0</v>
      </c>
      <c r="G20" s="555">
        <f t="shared" ca="1" si="16"/>
        <v>0</v>
      </c>
      <c r="I20" s="38" t="s">
        <v>502</v>
      </c>
      <c r="J20" s="527"/>
      <c r="O20" s="531">
        <f t="shared" si="3"/>
        <v>4</v>
      </c>
      <c r="P20" s="532">
        <f>'Meteorological data'!F20</f>
        <v>8.6078582572673631E-2</v>
      </c>
      <c r="Q20" s="532">
        <f>'Meteorological data'!G20</f>
        <v>4.5662100456621002E-2</v>
      </c>
      <c r="R20" s="533">
        <v>400</v>
      </c>
      <c r="S20" s="534">
        <f t="shared" ca="1" si="0"/>
        <v>133.33333333333331</v>
      </c>
      <c r="T20" s="534" t="e">
        <f t="shared" ca="1" si="4"/>
        <v>#VALUE!</v>
      </c>
      <c r="U20" s="534">
        <f t="shared" ca="1" si="5"/>
        <v>0</v>
      </c>
      <c r="V20" s="534" t="e">
        <f t="shared" ca="1" si="1"/>
        <v>#VALUE!</v>
      </c>
      <c r="W20" s="81" t="e">
        <f t="shared" ca="1" si="2"/>
        <v>#VALUE!</v>
      </c>
      <c r="X20" s="81">
        <f t="shared" ref="X20:X22" ca="1" si="19">(($X$23-$X$18)/($O$23-$O$18))*(O20-$O$18)+$X$18</f>
        <v>0</v>
      </c>
      <c r="Y20" s="534" t="e">
        <f t="shared" ca="1" si="14"/>
        <v>#VALUE!</v>
      </c>
      <c r="Z20" s="534" t="e">
        <f t="shared" ca="1" si="7"/>
        <v>#VALUE!</v>
      </c>
      <c r="AA20" s="534" t="e">
        <f t="shared" ca="1" si="8"/>
        <v>#VALUE!</v>
      </c>
      <c r="AB20" s="534" t="e">
        <f t="shared" ca="1" si="9"/>
        <v>#VALUE!</v>
      </c>
      <c r="AC20" s="535" t="e">
        <f t="shared" ca="1" si="10"/>
        <v>#VALUE!</v>
      </c>
      <c r="AF20" s="80">
        <v>0.95</v>
      </c>
      <c r="AG20" s="80">
        <v>0</v>
      </c>
      <c r="AH20" s="80">
        <v>0</v>
      </c>
      <c r="AI20" s="80">
        <v>0.01</v>
      </c>
    </row>
    <row r="21" spans="1:35" ht="15.75">
      <c r="A21" s="528" t="str">
        <f t="shared" ca="1" si="17"/>
        <v>High Temperature COP  (kW/kW)</v>
      </c>
      <c r="B21" s="547" t="str">
        <f t="shared" ca="1" si="15"/>
        <v>Based on test data according to I.S. EN 14825</v>
      </c>
      <c r="C21" s="81">
        <f t="shared" ca="1" si="18"/>
        <v>0</v>
      </c>
      <c r="D21" s="81">
        <f t="shared" ca="1" si="16"/>
        <v>0</v>
      </c>
      <c r="E21" s="81">
        <f t="shared" ca="1" si="16"/>
        <v>0</v>
      </c>
      <c r="F21" s="81">
        <f t="shared" ca="1" si="16"/>
        <v>0</v>
      </c>
      <c r="G21" s="555">
        <f t="shared" ca="1" si="16"/>
        <v>0</v>
      </c>
      <c r="I21" s="38" t="s">
        <v>502</v>
      </c>
      <c r="J21" s="527"/>
      <c r="O21" s="531">
        <f t="shared" si="3"/>
        <v>5</v>
      </c>
      <c r="P21" s="532">
        <f>'Meteorological data'!F21</f>
        <v>8.7979484604486846E-2</v>
      </c>
      <c r="Q21" s="532">
        <f>'Meteorological data'!G21</f>
        <v>5.0913242009132421E-2</v>
      </c>
      <c r="R21" s="533">
        <v>446</v>
      </c>
      <c r="S21" s="534">
        <f t="shared" ca="1" si="0"/>
        <v>148.66666666666666</v>
      </c>
      <c r="T21" s="534" t="e">
        <f t="shared" ca="1" si="4"/>
        <v>#VALUE!</v>
      </c>
      <c r="U21" s="534">
        <f t="shared" ca="1" si="5"/>
        <v>0</v>
      </c>
      <c r="V21" s="534" t="e">
        <f t="shared" ca="1" si="1"/>
        <v>#VALUE!</v>
      </c>
      <c r="W21" s="81" t="e">
        <f t="shared" ca="1" si="2"/>
        <v>#VALUE!</v>
      </c>
      <c r="X21" s="81">
        <f t="shared" ca="1" si="19"/>
        <v>0</v>
      </c>
      <c r="Y21" s="534" t="e">
        <f t="shared" ca="1" si="14"/>
        <v>#VALUE!</v>
      </c>
      <c r="Z21" s="534" t="e">
        <f t="shared" ca="1" si="7"/>
        <v>#VALUE!</v>
      </c>
      <c r="AA21" s="534" t="e">
        <f t="shared" ca="1" si="8"/>
        <v>#VALUE!</v>
      </c>
      <c r="AB21" s="534" t="e">
        <f t="shared" ca="1" si="9"/>
        <v>#VALUE!</v>
      </c>
      <c r="AC21" s="535" t="e">
        <f t="shared" ca="1" si="10"/>
        <v>#VALUE!</v>
      </c>
      <c r="AF21" s="80">
        <v>1</v>
      </c>
      <c r="AG21" s="80">
        <v>0</v>
      </c>
      <c r="AH21" s="80">
        <v>0</v>
      </c>
      <c r="AI21" s="80">
        <v>0.01</v>
      </c>
    </row>
    <row r="22" spans="1:35" ht="15.75">
      <c r="A22" s="550" t="str">
        <f t="shared" ca="1" si="17"/>
        <v>Very high Temperature COP  (kW/kW)</v>
      </c>
      <c r="B22" s="547" t="str">
        <f t="shared" ca="1" si="15"/>
        <v>Based on test data according to I.S. EN 14825</v>
      </c>
      <c r="C22" s="556">
        <f t="shared" ca="1" si="18"/>
        <v>0</v>
      </c>
      <c r="D22" s="556">
        <f t="shared" ca="1" si="16"/>
        <v>0</v>
      </c>
      <c r="E22" s="556">
        <f t="shared" ca="1" si="16"/>
        <v>0</v>
      </c>
      <c r="F22" s="556">
        <f t="shared" ca="1" si="16"/>
        <v>0</v>
      </c>
      <c r="G22" s="557">
        <f t="shared" ca="1" si="16"/>
        <v>0</v>
      </c>
      <c r="I22" s="38" t="s">
        <v>502</v>
      </c>
      <c r="J22" s="527"/>
      <c r="O22" s="531">
        <f t="shared" si="3"/>
        <v>6</v>
      </c>
      <c r="P22" s="532">
        <f>'Meteorological data'!F22</f>
        <v>9.7735057296056527E-2</v>
      </c>
      <c r="Q22" s="532">
        <f>'Meteorological data'!G22</f>
        <v>6.2214611872146115E-2</v>
      </c>
      <c r="R22" s="533">
        <v>545</v>
      </c>
      <c r="S22" s="534">
        <f t="shared" ca="1" si="0"/>
        <v>181.66666666666666</v>
      </c>
      <c r="T22" s="534" t="e">
        <f t="shared" ca="1" si="4"/>
        <v>#VALUE!</v>
      </c>
      <c r="U22" s="534">
        <f t="shared" ca="1" si="5"/>
        <v>0</v>
      </c>
      <c r="V22" s="534" t="e">
        <f t="shared" ca="1" si="1"/>
        <v>#VALUE!</v>
      </c>
      <c r="W22" s="81" t="e">
        <f t="shared" ca="1" si="2"/>
        <v>#VALUE!</v>
      </c>
      <c r="X22" s="81">
        <f t="shared" ca="1" si="19"/>
        <v>0</v>
      </c>
      <c r="Y22" s="534" t="e">
        <f t="shared" ca="1" si="14"/>
        <v>#VALUE!</v>
      </c>
      <c r="Z22" s="534" t="e">
        <f t="shared" ca="1" si="7"/>
        <v>#VALUE!</v>
      </c>
      <c r="AA22" s="534" t="e">
        <f t="shared" ca="1" si="8"/>
        <v>#VALUE!</v>
      </c>
      <c r="AB22" s="534" t="e">
        <f t="shared" ca="1" si="9"/>
        <v>#VALUE!</v>
      </c>
      <c r="AC22" s="535" t="e">
        <f t="shared" ca="1" si="10"/>
        <v>#VALUE!</v>
      </c>
      <c r="AF22" s="80">
        <v>1.05</v>
      </c>
      <c r="AG22" s="80">
        <v>0</v>
      </c>
      <c r="AH22" s="80">
        <v>0</v>
      </c>
      <c r="AI22" s="80">
        <v>0</v>
      </c>
    </row>
    <row r="23" spans="1:35" ht="15.75">
      <c r="A23" s="543" t="str">
        <f ca="1">$E119&amp;" Heating Capacity (kW)"</f>
        <v>Low Temperature Heating Capacity (kW)</v>
      </c>
      <c r="B23" s="544" t="str">
        <f t="shared" ca="1" si="15"/>
        <v>Based on test data according to I.S. EN 14825</v>
      </c>
      <c r="C23" s="553">
        <f t="shared" ca="1" si="18"/>
        <v>0</v>
      </c>
      <c r="D23" s="553">
        <f t="shared" ca="1" si="16"/>
        <v>0</v>
      </c>
      <c r="E23" s="553">
        <f t="shared" ca="1" si="16"/>
        <v>0</v>
      </c>
      <c r="F23" s="553">
        <f t="shared" ca="1" si="16"/>
        <v>0</v>
      </c>
      <c r="G23" s="554">
        <f t="shared" ca="1" si="16"/>
        <v>0</v>
      </c>
      <c r="I23" s="38" t="s">
        <v>503</v>
      </c>
      <c r="J23" s="527"/>
      <c r="K23" s="523"/>
      <c r="M23" s="523"/>
      <c r="O23" s="537">
        <f t="shared" si="3"/>
        <v>7</v>
      </c>
      <c r="P23" s="538">
        <f>'Meteorological data'!F23</f>
        <v>9.7322597421229132E-2</v>
      </c>
      <c r="Q23" s="538">
        <f>'Meteorological data'!G23</f>
        <v>6.8835616438356159E-2</v>
      </c>
      <c r="R23" s="539">
        <v>603</v>
      </c>
      <c r="S23" s="540">
        <f t="shared" ca="1" si="0"/>
        <v>201</v>
      </c>
      <c r="T23" s="540" t="e">
        <f t="shared" ca="1" si="4"/>
        <v>#VALUE!</v>
      </c>
      <c r="U23" s="540">
        <f t="shared" ca="1" si="5"/>
        <v>0</v>
      </c>
      <c r="V23" s="534" t="e">
        <f t="shared" ca="1" si="1"/>
        <v>#VALUE!</v>
      </c>
      <c r="W23" s="541" t="e">
        <f t="shared" ca="1" si="2"/>
        <v>#VALUE!</v>
      </c>
      <c r="X23" s="541">
        <f ca="1">F41</f>
        <v>0</v>
      </c>
      <c r="Y23" s="540" t="e">
        <f t="shared" ca="1" si="14"/>
        <v>#VALUE!</v>
      </c>
      <c r="Z23" s="540" t="e">
        <f t="shared" ca="1" si="7"/>
        <v>#VALUE!</v>
      </c>
      <c r="AA23" s="540" t="e">
        <f t="shared" ca="1" si="8"/>
        <v>#VALUE!</v>
      </c>
      <c r="AB23" s="540" t="e">
        <f t="shared" ca="1" si="9"/>
        <v>#VALUE!</v>
      </c>
      <c r="AC23" s="542" t="e">
        <f t="shared" ca="1" si="10"/>
        <v>#VALUE!</v>
      </c>
    </row>
    <row r="24" spans="1:35" ht="15.75">
      <c r="A24" s="528" t="str">
        <f t="shared" ref="A24:A26" ca="1" si="20">$E120&amp;" Heating Capacity (kW)"</f>
        <v>Medium Temperature Heating Capacity (kW)</v>
      </c>
      <c r="B24" s="547" t="str">
        <f t="shared" ca="1" si="15"/>
        <v>Based on test data according to I.S. EN 14825</v>
      </c>
      <c r="C24" s="81">
        <f t="shared" ca="1" si="18"/>
        <v>0</v>
      </c>
      <c r="D24" s="81">
        <f t="shared" ca="1" si="16"/>
        <v>0</v>
      </c>
      <c r="E24" s="81">
        <f t="shared" ca="1" si="16"/>
        <v>0</v>
      </c>
      <c r="F24" s="81">
        <f t="shared" ca="1" si="16"/>
        <v>0</v>
      </c>
      <c r="G24" s="555">
        <f t="shared" ca="1" si="16"/>
        <v>0</v>
      </c>
      <c r="I24" s="38" t="s">
        <v>503</v>
      </c>
      <c r="J24" s="527"/>
      <c r="K24" s="523"/>
      <c r="M24" s="523"/>
      <c r="O24" s="531">
        <f t="shared" si="3"/>
        <v>8</v>
      </c>
      <c r="P24" s="532">
        <f>'Meteorological data'!F24</f>
        <v>9.4399512221365417E-2</v>
      </c>
      <c r="Q24" s="532">
        <f>'Meteorological data'!G24</f>
        <v>7.5114155251141554E-2</v>
      </c>
      <c r="R24" s="533">
        <v>658</v>
      </c>
      <c r="S24" s="534">
        <f t="shared" ca="1" si="0"/>
        <v>219.33333333333331</v>
      </c>
      <c r="T24" s="534" t="e">
        <f t="shared" ca="1" si="4"/>
        <v>#VALUE!</v>
      </c>
      <c r="U24" s="534">
        <f t="shared" ca="1" si="5"/>
        <v>0</v>
      </c>
      <c r="V24" s="534" t="e">
        <f t="shared" ca="1" si="1"/>
        <v>#VALUE!</v>
      </c>
      <c r="W24" s="81" t="e">
        <f t="shared" ca="1" si="2"/>
        <v>#VALUE!</v>
      </c>
      <c r="X24" s="81">
        <f ca="1">(($X$28-$X$23)/($O$28-$O$23))*(O24-$O$23)+$X$23</f>
        <v>0</v>
      </c>
      <c r="Y24" s="534" t="e">
        <f t="shared" ca="1" si="14"/>
        <v>#VALUE!</v>
      </c>
      <c r="Z24" s="534" t="e">
        <f t="shared" ca="1" si="7"/>
        <v>#VALUE!</v>
      </c>
      <c r="AA24" s="534" t="e">
        <f t="shared" ca="1" si="8"/>
        <v>#VALUE!</v>
      </c>
      <c r="AB24" s="534" t="e">
        <f t="shared" ca="1" si="9"/>
        <v>#VALUE!</v>
      </c>
      <c r="AC24" s="535" t="e">
        <f t="shared" ca="1" si="10"/>
        <v>#VALUE!</v>
      </c>
      <c r="AG24" s="532" t="e">
        <f ca="1">IF($J$47&lt;0.5,3.9048*$J$47^2-4.018*$J$47+1.045,0)</f>
        <v>#VALUE!</v>
      </c>
      <c r="AH24" s="532" t="e">
        <f ca="1">IF($J$47&lt;0.7,2.0699*$J$47^2-2.8993*$J$47+1.0265,0)</f>
        <v>#VALUE!</v>
      </c>
      <c r="AI24" s="532" t="e">
        <f ca="1">IF($J$47&lt;1,1.1182*$J$47^2-2.1276*$J$47+1.0252,0)</f>
        <v>#VALUE!</v>
      </c>
    </row>
    <row r="25" spans="1:35" ht="15.75">
      <c r="A25" s="528" t="str">
        <f t="shared" ca="1" si="20"/>
        <v>High Temperature Heating Capacity (kW)</v>
      </c>
      <c r="B25" s="547" t="str">
        <f t="shared" ca="1" si="15"/>
        <v>Based on test data according to I.S. EN 14825</v>
      </c>
      <c r="C25" s="81">
        <f t="shared" ca="1" si="18"/>
        <v>0</v>
      </c>
      <c r="D25" s="81">
        <f t="shared" ca="1" si="16"/>
        <v>0</v>
      </c>
      <c r="E25" s="81">
        <f t="shared" ca="1" si="16"/>
        <v>0</v>
      </c>
      <c r="F25" s="81">
        <f t="shared" ca="1" si="16"/>
        <v>0</v>
      </c>
      <c r="G25" s="555">
        <f t="shared" ca="1" si="16"/>
        <v>0</v>
      </c>
      <c r="I25" s="38" t="s">
        <v>503</v>
      </c>
      <c r="J25" s="527"/>
      <c r="K25" s="523"/>
      <c r="M25" s="523"/>
      <c r="O25" s="531">
        <f t="shared" si="3"/>
        <v>9</v>
      </c>
      <c r="P25" s="532">
        <f>'Meteorological data'!F25</f>
        <v>8.5486792317486501E-2</v>
      </c>
      <c r="Q25" s="532">
        <f>'Meteorological data'!G25</f>
        <v>7.773972602739726E-2</v>
      </c>
      <c r="R25" s="533">
        <v>681</v>
      </c>
      <c r="S25" s="534">
        <f t="shared" ca="1" si="0"/>
        <v>227</v>
      </c>
      <c r="T25" s="534" t="e">
        <f t="shared" ca="1" si="4"/>
        <v>#VALUE!</v>
      </c>
      <c r="U25" s="534">
        <f t="shared" ca="1" si="5"/>
        <v>0</v>
      </c>
      <c r="V25" s="534" t="e">
        <f t="shared" ca="1" si="1"/>
        <v>#VALUE!</v>
      </c>
      <c r="W25" s="81" t="e">
        <f t="shared" ca="1" si="2"/>
        <v>#VALUE!</v>
      </c>
      <c r="X25" s="81">
        <f t="shared" ref="X25:X30" ca="1" si="21">(($X$28-$X$23)/($O$28-$O$23))*(O25-$O$23)+$X$23</f>
        <v>0</v>
      </c>
      <c r="Y25" s="534" t="e">
        <f t="shared" ca="1" si="14"/>
        <v>#VALUE!</v>
      </c>
      <c r="Z25" s="534" t="e">
        <f t="shared" ca="1" si="7"/>
        <v>#VALUE!</v>
      </c>
      <c r="AA25" s="534" t="e">
        <f t="shared" ca="1" si="8"/>
        <v>#VALUE!</v>
      </c>
      <c r="AB25" s="534" t="e">
        <f t="shared" ca="1" si="9"/>
        <v>#VALUE!</v>
      </c>
      <c r="AC25" s="535" t="e">
        <f t="shared" ca="1" si="10"/>
        <v>#VALUE!</v>
      </c>
    </row>
    <row r="26" spans="1:35" ht="15.75">
      <c r="A26" s="550" t="str">
        <f t="shared" ca="1" si="20"/>
        <v>Very high Temperature Heating Capacity (kW)</v>
      </c>
      <c r="B26" s="547" t="str">
        <f t="shared" ca="1" si="15"/>
        <v>Based on test data according to I.S. EN 14825</v>
      </c>
      <c r="C26" s="556">
        <f t="shared" ca="1" si="18"/>
        <v>0</v>
      </c>
      <c r="D26" s="556">
        <f t="shared" ca="1" si="16"/>
        <v>0</v>
      </c>
      <c r="E26" s="556">
        <f t="shared" ca="1" si="16"/>
        <v>0</v>
      </c>
      <c r="F26" s="556">
        <f t="shared" ca="1" si="16"/>
        <v>0</v>
      </c>
      <c r="G26" s="557">
        <f t="shared" ca="1" si="16"/>
        <v>0</v>
      </c>
      <c r="I26" s="38" t="s">
        <v>503</v>
      </c>
      <c r="J26" s="82"/>
      <c r="O26" s="531">
        <f t="shared" si="3"/>
        <v>10</v>
      </c>
      <c r="P26" s="532">
        <f>'Meteorological data'!F26</f>
        <v>6.875526782992307E-2</v>
      </c>
      <c r="Q26" s="532">
        <f>'Meteorological data'!G26</f>
        <v>7.294520547945206E-2</v>
      </c>
      <c r="R26" s="533">
        <v>639</v>
      </c>
      <c r="S26" s="534">
        <f t="shared" ca="1" si="0"/>
        <v>213</v>
      </c>
      <c r="T26" s="534" t="e">
        <f t="shared" ca="1" si="4"/>
        <v>#VALUE!</v>
      </c>
      <c r="U26" s="534">
        <f t="shared" ca="1" si="5"/>
        <v>0</v>
      </c>
      <c r="V26" s="534" t="e">
        <f t="shared" ca="1" si="1"/>
        <v>#VALUE!</v>
      </c>
      <c r="W26" s="81" t="e">
        <f t="shared" ca="1" si="2"/>
        <v>#VALUE!</v>
      </c>
      <c r="X26" s="81">
        <f t="shared" ca="1" si="21"/>
        <v>0</v>
      </c>
      <c r="Y26" s="534" t="e">
        <f t="shared" ca="1" si="14"/>
        <v>#VALUE!</v>
      </c>
      <c r="Z26" s="534" t="e">
        <f t="shared" ca="1" si="7"/>
        <v>#VALUE!</v>
      </c>
      <c r="AA26" s="534" t="e">
        <f t="shared" ca="1" si="8"/>
        <v>#VALUE!</v>
      </c>
      <c r="AB26" s="534" t="e">
        <f t="shared" ca="1" si="9"/>
        <v>#VALUE!</v>
      </c>
      <c r="AC26" s="535" t="e">
        <f t="shared" ca="1" si="10"/>
        <v>#VALUE!</v>
      </c>
    </row>
    <row r="27" spans="1:35" ht="13.5" thickBot="1">
      <c r="B27" s="291" t="s">
        <v>504</v>
      </c>
      <c r="C27" s="292" t="s">
        <v>505</v>
      </c>
      <c r="D27" s="292" t="s">
        <v>506</v>
      </c>
      <c r="E27" s="558" t="s">
        <v>507</v>
      </c>
      <c r="F27" s="292" t="s">
        <v>508</v>
      </c>
      <c r="G27" s="292" t="s">
        <v>509</v>
      </c>
      <c r="J27" s="82"/>
      <c r="O27" s="531">
        <f t="shared" si="3"/>
        <v>11</v>
      </c>
      <c r="P27" s="532">
        <f>'Meteorological data'!F27</f>
        <v>5.9179025518713124E-2</v>
      </c>
      <c r="Q27" s="532">
        <f>'Meteorological data'!G27</f>
        <v>7.5342465753424653E-2</v>
      </c>
      <c r="R27" s="533">
        <v>660</v>
      </c>
      <c r="S27" s="534">
        <f t="shared" ca="1" si="0"/>
        <v>220</v>
      </c>
      <c r="T27" s="534" t="e">
        <f t="shared" ca="1" si="4"/>
        <v>#VALUE!</v>
      </c>
      <c r="U27" s="534">
        <f t="shared" ca="1" si="5"/>
        <v>0</v>
      </c>
      <c r="V27" s="534" t="e">
        <f t="shared" ca="1" si="1"/>
        <v>#VALUE!</v>
      </c>
      <c r="W27" s="81" t="e">
        <f t="shared" ca="1" si="2"/>
        <v>#VALUE!</v>
      </c>
      <c r="X27" s="81">
        <f t="shared" ca="1" si="21"/>
        <v>0</v>
      </c>
      <c r="Y27" s="534" t="e">
        <f t="shared" ca="1" si="14"/>
        <v>#VALUE!</v>
      </c>
      <c r="Z27" s="534" t="e">
        <f t="shared" ca="1" si="7"/>
        <v>#VALUE!</v>
      </c>
      <c r="AA27" s="534" t="e">
        <f t="shared" ca="1" si="8"/>
        <v>#VALUE!</v>
      </c>
      <c r="AB27" s="534" t="e">
        <f t="shared" ca="1" si="9"/>
        <v>#VALUE!</v>
      </c>
      <c r="AC27" s="535" t="e">
        <f t="shared" ca="1" si="10"/>
        <v>#VALUE!</v>
      </c>
    </row>
    <row r="28" spans="1:35">
      <c r="A28" s="80" t="s">
        <v>510</v>
      </c>
      <c r="B28" s="559" t="s">
        <v>511</v>
      </c>
      <c r="C28" s="560" t="str">
        <f ca="1">IF(C30="Yes",$E$125,
IF($E$132="Low temperature heat pump",$E$123,
IF($E$107&lt;=45,IF($E$128="Yes",$E$123,IF($E$129="Yes",$E$124,$E$125)),
IF($E$107&lt;=55,IF($E$129="Yes",$E$124,IF($E$128="Yes",$E$123,$E$125)),
$E$125))))</f>
        <v>High</v>
      </c>
      <c r="D28" s="170"/>
      <c r="E28" s="561"/>
      <c r="I28" s="80" t="s">
        <v>23</v>
      </c>
      <c r="J28" s="82"/>
      <c r="O28" s="537">
        <f t="shared" si="3"/>
        <v>12</v>
      </c>
      <c r="P28" s="538">
        <f>'Meteorological data'!F28</f>
        <v>4.3756612807775763E-2</v>
      </c>
      <c r="Q28" s="538">
        <f>'Meteorological data'!G28</f>
        <v>6.9634703196347028E-2</v>
      </c>
      <c r="R28" s="539">
        <v>610</v>
      </c>
      <c r="S28" s="540">
        <f t="shared" ca="1" si="0"/>
        <v>203.33333333333331</v>
      </c>
      <c r="T28" s="540" t="e">
        <f t="shared" ca="1" si="4"/>
        <v>#VALUE!</v>
      </c>
      <c r="U28" s="540">
        <f t="shared" ca="1" si="5"/>
        <v>0</v>
      </c>
      <c r="V28" s="534" t="e">
        <f t="shared" ca="1" si="1"/>
        <v>#VALUE!</v>
      </c>
      <c r="W28" s="541" t="e">
        <f t="shared" ca="1" si="2"/>
        <v>#VALUE!</v>
      </c>
      <c r="X28" s="541">
        <f ca="1">G41</f>
        <v>0</v>
      </c>
      <c r="Y28" s="540" t="e">
        <f t="shared" ca="1" si="14"/>
        <v>#VALUE!</v>
      </c>
      <c r="Z28" s="540" t="e">
        <f t="shared" ca="1" si="7"/>
        <v>#VALUE!</v>
      </c>
      <c r="AA28" s="540" t="e">
        <f t="shared" ca="1" si="8"/>
        <v>#VALUE!</v>
      </c>
      <c r="AB28" s="540" t="e">
        <f t="shared" ca="1" si="9"/>
        <v>#VALUE!</v>
      </c>
      <c r="AC28" s="542" t="e">
        <f t="shared" ca="1" si="10"/>
        <v>#VALUE!</v>
      </c>
    </row>
    <row r="29" spans="1:35">
      <c r="B29" s="562" t="s">
        <v>512</v>
      </c>
      <c r="C29" s="563" t="str">
        <f ca="1">IF(C30="Yes","Error",
IF($E$132="Low temperature heat pump",IF($E$129="Yes",$E$124,"Error"),
IF($E$107&lt;=45,IF(C28=$E$123,IF($E$129="Yes",$E$124,$E$125),IF(C28=$E$124,$E$125,"Error")),
IF($E$107&lt;=55,IF(C28=$E$123,$E$125,IF(C28=$E$124,$E$125,"Error")),
IF($E$130="Yes",$E$126,"Error")))))</f>
        <v>Error</v>
      </c>
      <c r="D29" s="170"/>
      <c r="E29" s="561"/>
      <c r="J29" s="82"/>
      <c r="N29" s="82"/>
      <c r="O29" s="531">
        <f t="shared" si="3"/>
        <v>13</v>
      </c>
      <c r="P29" s="532">
        <f>'Meteorological data'!F29</f>
        <v>3.1311084410810035E-2</v>
      </c>
      <c r="Q29" s="532">
        <f>'Meteorological data'!G29</f>
        <v>6.6438356164383566E-2</v>
      </c>
      <c r="R29" s="533">
        <v>582</v>
      </c>
      <c r="S29" s="534">
        <f t="shared" ca="1" si="0"/>
        <v>194</v>
      </c>
      <c r="T29" s="534" t="e">
        <f t="shared" ca="1" si="4"/>
        <v>#VALUE!</v>
      </c>
      <c r="U29" s="534">
        <f t="shared" ca="1" si="5"/>
        <v>0</v>
      </c>
      <c r="V29" s="534" t="e">
        <f t="shared" ca="1" si="1"/>
        <v>#VALUE!</v>
      </c>
      <c r="W29" s="81" t="e">
        <f t="shared" ca="1" si="2"/>
        <v>#VALUE!</v>
      </c>
      <c r="X29" s="81">
        <f t="shared" ca="1" si="21"/>
        <v>0</v>
      </c>
      <c r="Y29" s="534" t="e">
        <f t="shared" ca="1" si="14"/>
        <v>#VALUE!</v>
      </c>
      <c r="Z29" s="534" t="e">
        <f t="shared" ca="1" si="7"/>
        <v>#VALUE!</v>
      </c>
      <c r="AA29" s="534" t="e">
        <f t="shared" ca="1" si="8"/>
        <v>#VALUE!</v>
      </c>
      <c r="AB29" s="534" t="e">
        <f t="shared" ca="1" si="9"/>
        <v>#VALUE!</v>
      </c>
      <c r="AC29" s="535" t="e">
        <f t="shared" ca="1" si="10"/>
        <v>#VALUE!</v>
      </c>
    </row>
    <row r="30" spans="1:35" ht="13.5" thickBot="1">
      <c r="B30" s="564" t="s">
        <v>513</v>
      </c>
      <c r="C30" s="565" t="str">
        <f ca="1">$E$106</f>
        <v>No</v>
      </c>
      <c r="D30" s="170"/>
      <c r="E30" s="561"/>
      <c r="J30" s="82"/>
      <c r="N30" s="82"/>
      <c r="O30" s="531">
        <f t="shared" si="3"/>
        <v>14</v>
      </c>
      <c r="P30" s="532">
        <f>'Meteorological data'!F30</f>
        <v>1.7251582590606676E-2</v>
      </c>
      <c r="Q30" s="532">
        <f>'Meteorological data'!G30</f>
        <v>5.4908675799086759E-2</v>
      </c>
      <c r="R30" s="533">
        <v>481</v>
      </c>
      <c r="S30" s="534">
        <f t="shared" ca="1" si="0"/>
        <v>160.33333333333331</v>
      </c>
      <c r="T30" s="534" t="e">
        <f t="shared" ca="1" si="4"/>
        <v>#VALUE!</v>
      </c>
      <c r="U30" s="534">
        <f t="shared" ca="1" si="5"/>
        <v>0</v>
      </c>
      <c r="V30" s="534" t="e">
        <f t="shared" ca="1" si="1"/>
        <v>#VALUE!</v>
      </c>
      <c r="W30" s="81" t="e">
        <f t="shared" ca="1" si="2"/>
        <v>#VALUE!</v>
      </c>
      <c r="X30" s="81">
        <f t="shared" ca="1" si="21"/>
        <v>0</v>
      </c>
      <c r="Y30" s="534" t="e">
        <f t="shared" ca="1" si="14"/>
        <v>#VALUE!</v>
      </c>
      <c r="Z30" s="534" t="e">
        <f t="shared" ca="1" si="7"/>
        <v>#VALUE!</v>
      </c>
      <c r="AA30" s="534" t="e">
        <f t="shared" ca="1" si="8"/>
        <v>#VALUE!</v>
      </c>
      <c r="AB30" s="534" t="e">
        <f t="shared" ca="1" si="9"/>
        <v>#VALUE!</v>
      </c>
      <c r="AC30" s="535" t="e">
        <f t="shared" ca="1" si="10"/>
        <v>#VALUE!</v>
      </c>
    </row>
    <row r="31" spans="1:35" ht="14.25">
      <c r="A31" s="523" t="s">
        <v>514</v>
      </c>
      <c r="B31" s="80" t="str">
        <f ca="1">C28</f>
        <v>High</v>
      </c>
      <c r="C31" s="80">
        <f ca="1">IF($C$28=$E$123,C15,IF($C$28=$E$124,C16,C17))</f>
        <v>55</v>
      </c>
      <c r="D31" s="80">
        <f t="shared" ref="D31:G31" ca="1" si="22">IF($C$28=$E$123,D15,IF($C$28=$E$124,D16,D17))</f>
        <v>55</v>
      </c>
      <c r="E31" s="80">
        <f t="shared" ca="1" si="22"/>
        <v>55</v>
      </c>
      <c r="F31" s="80">
        <f t="shared" ca="1" si="22"/>
        <v>55</v>
      </c>
      <c r="G31" s="80">
        <f t="shared" ca="1" si="22"/>
        <v>55</v>
      </c>
      <c r="I31" s="82"/>
      <c r="J31" s="82"/>
      <c r="O31" s="531">
        <f t="shared" si="3"/>
        <v>15</v>
      </c>
      <c r="P31" s="532">
        <f>'Meteorological data'!F31</f>
        <v>9.002385094058785E-3</v>
      </c>
      <c r="Q31" s="532">
        <f>'Meteorological data'!G31</f>
        <v>5.7305936073059359E-2</v>
      </c>
      <c r="R31" s="533">
        <v>502</v>
      </c>
      <c r="S31" s="534">
        <f t="shared" ca="1" si="0"/>
        <v>167.33333333333331</v>
      </c>
      <c r="T31" s="534" t="e">
        <f t="shared" ca="1" si="4"/>
        <v>#VALUE!</v>
      </c>
      <c r="U31" s="534">
        <f t="shared" ca="1" si="5"/>
        <v>0</v>
      </c>
      <c r="V31" s="534" t="e">
        <f t="shared" ca="1" si="1"/>
        <v>#VALUE!</v>
      </c>
      <c r="W31" s="81" t="e">
        <f t="shared" ca="1" si="2"/>
        <v>#VALUE!</v>
      </c>
      <c r="X31" s="81">
        <f ca="1">(($X$28-$X$23)/($O$28-$O$23))*(O31-$O$23)+$X$23</f>
        <v>0</v>
      </c>
      <c r="Y31" s="534" t="e">
        <f t="shared" ca="1" si="14"/>
        <v>#VALUE!</v>
      </c>
      <c r="Z31" s="534" t="e">
        <f t="shared" ca="1" si="7"/>
        <v>#VALUE!</v>
      </c>
      <c r="AA31" s="534" t="e">
        <f t="shared" ca="1" si="8"/>
        <v>#VALUE!</v>
      </c>
      <c r="AB31" s="534" t="e">
        <f t="shared" ca="1" si="9"/>
        <v>#VALUE!</v>
      </c>
      <c r="AC31" s="535" t="e">
        <f t="shared" ca="1" si="10"/>
        <v>#VALUE!</v>
      </c>
    </row>
    <row r="32" spans="1:35" ht="14.25">
      <c r="A32" s="523" t="s">
        <v>515</v>
      </c>
      <c r="B32" s="80" t="str">
        <f ca="1">C29</f>
        <v>Error</v>
      </c>
      <c r="C32" s="80">
        <f ca="1">IF($C$29=$E$126,C18,IF($C$29=$E$125,C17,IF($C$29="Error",0,C16)))</f>
        <v>0</v>
      </c>
      <c r="D32" s="80">
        <f t="shared" ref="D32:G32" ca="1" si="23">IF($C$29=$E$126,D18,IF($C$29=$E$125,D17,IF($C$29="Error",0,D16)))</f>
        <v>0</v>
      </c>
      <c r="E32" s="80">
        <f t="shared" ca="1" si="23"/>
        <v>0</v>
      </c>
      <c r="F32" s="80">
        <f t="shared" ca="1" si="23"/>
        <v>0</v>
      </c>
      <c r="G32" s="80">
        <f t="shared" ca="1" si="23"/>
        <v>0</v>
      </c>
      <c r="J32" s="82"/>
      <c r="O32" s="531">
        <f t="shared" si="3"/>
        <v>16</v>
      </c>
      <c r="Q32" s="532">
        <f>'Meteorological data'!G32</f>
        <v>4.3721461187214615E-2</v>
      </c>
      <c r="R32" s="533">
        <v>383</v>
      </c>
      <c r="S32" s="534">
        <f t="shared" ca="1" si="0"/>
        <v>127.66666666666666</v>
      </c>
      <c r="U32" s="534">
        <f t="shared" ca="1" si="5"/>
        <v>0</v>
      </c>
      <c r="V32" s="534">
        <f t="shared" ca="1" si="1"/>
        <v>0</v>
      </c>
      <c r="W32" s="81" t="s">
        <v>23</v>
      </c>
    </row>
    <row r="33" spans="1:24" ht="13.5" thickBot="1">
      <c r="A33" s="523" t="s">
        <v>516</v>
      </c>
      <c r="B33" s="80" t="str">
        <f ca="1">C28</f>
        <v>High</v>
      </c>
      <c r="C33" s="81">
        <f ca="1">IF($C$28=$E$123,C19,IF($C$28=$E$124,C20,C21))</f>
        <v>0</v>
      </c>
      <c r="D33" s="81">
        <f t="shared" ref="D33:G33" ca="1" si="24">IF($C$28=$E$123,D19,IF($C$28=$E$124,D20,D21))</f>
        <v>0</v>
      </c>
      <c r="E33" s="81">
        <f t="shared" ca="1" si="24"/>
        <v>0</v>
      </c>
      <c r="F33" s="81">
        <f t="shared" ca="1" si="24"/>
        <v>0</v>
      </c>
      <c r="G33" s="81">
        <f t="shared" ca="1" si="24"/>
        <v>0</v>
      </c>
      <c r="J33" s="82"/>
      <c r="O33" s="531">
        <f t="shared" si="3"/>
        <v>17</v>
      </c>
      <c r="Q33" s="532">
        <f>'Meteorological data'!G33</f>
        <v>2.9566210045662102E-2</v>
      </c>
      <c r="R33" s="533">
        <v>259</v>
      </c>
      <c r="S33" s="534">
        <f t="shared" ca="1" si="0"/>
        <v>86.333333333333329</v>
      </c>
      <c r="U33" s="534">
        <f t="shared" ca="1" si="5"/>
        <v>0</v>
      </c>
      <c r="V33" s="534">
        <f t="shared" ca="1" si="1"/>
        <v>0</v>
      </c>
      <c r="W33" s="81" t="s">
        <v>23</v>
      </c>
    </row>
    <row r="34" spans="1:24">
      <c r="A34" s="523" t="s">
        <v>517</v>
      </c>
      <c r="B34" s="80" t="str">
        <f ca="1">C29</f>
        <v>Error</v>
      </c>
      <c r="C34" s="81">
        <f ca="1">IF($C$29=$E$126,C22,IF($C$29=$E$125,C21,IF($C$29="Error",0,C20)))</f>
        <v>0</v>
      </c>
      <c r="D34" s="81">
        <f t="shared" ref="D34:G34" ca="1" si="25">IF($C$29=$E$126,D22,IF($C$29=$E$125,D21,IF($C$29="Error",0,D20)))</f>
        <v>0</v>
      </c>
      <c r="E34" s="81">
        <f t="shared" ca="1" si="25"/>
        <v>0</v>
      </c>
      <c r="F34" s="81">
        <f t="shared" ca="1" si="25"/>
        <v>0</v>
      </c>
      <c r="G34" s="81">
        <f t="shared" ca="1" si="25"/>
        <v>0</v>
      </c>
      <c r="I34" s="566" t="s">
        <v>518</v>
      </c>
      <c r="J34" s="82"/>
      <c r="O34" s="531">
        <f t="shared" si="3"/>
        <v>18</v>
      </c>
      <c r="Q34" s="532">
        <f>'Meteorological data'!G34</f>
        <v>1.9406392694063926E-2</v>
      </c>
      <c r="R34" s="533">
        <v>170</v>
      </c>
      <c r="S34" s="534">
        <f t="shared" ca="1" si="0"/>
        <v>56.666666666666664</v>
      </c>
      <c r="U34" s="534">
        <f t="shared" ca="1" si="5"/>
        <v>0</v>
      </c>
      <c r="V34" s="534">
        <f t="shared" ca="1" si="1"/>
        <v>0</v>
      </c>
      <c r="W34" s="81" t="s">
        <v>23</v>
      </c>
    </row>
    <row r="35" spans="1:24" ht="13.5" thickBot="1">
      <c r="A35" s="523" t="s">
        <v>519</v>
      </c>
      <c r="B35" s="80" t="str">
        <f ca="1">C28</f>
        <v>High</v>
      </c>
      <c r="C35" s="81">
        <f ca="1">IF($C$28=$E$123,C23,IF($C$28=$E$124,C24,C25))</f>
        <v>0</v>
      </c>
      <c r="D35" s="81">
        <f t="shared" ref="D35:G35" ca="1" si="26">IF($C$28=$E$123,D23,IF($C$28=$E$124,D24,D25))</f>
        <v>0</v>
      </c>
      <c r="E35" s="81">
        <f t="shared" ca="1" si="26"/>
        <v>0</v>
      </c>
      <c r="F35" s="81">
        <f t="shared" ca="1" si="26"/>
        <v>0</v>
      </c>
      <c r="G35" s="81">
        <f t="shared" ca="1" si="26"/>
        <v>0</v>
      </c>
      <c r="I35" s="567">
        <f ca="1">IF(E132="Low temperature heat pump",35,55)</f>
        <v>55</v>
      </c>
      <c r="J35" s="82"/>
      <c r="O35" s="531">
        <f t="shared" si="3"/>
        <v>19</v>
      </c>
      <c r="Q35" s="532">
        <f>'Meteorological data'!G35</f>
        <v>1.2785388127853882E-2</v>
      </c>
      <c r="R35" s="533">
        <v>112</v>
      </c>
      <c r="S35" s="534">
        <f t="shared" ca="1" si="0"/>
        <v>37.333333333333329</v>
      </c>
      <c r="U35" s="534">
        <f t="shared" ca="1" si="5"/>
        <v>0</v>
      </c>
      <c r="V35" s="534">
        <f t="shared" ca="1" si="1"/>
        <v>0</v>
      </c>
      <c r="W35" s="81" t="s">
        <v>23</v>
      </c>
    </row>
    <row r="36" spans="1:24">
      <c r="A36" s="523" t="s">
        <v>520</v>
      </c>
      <c r="B36" s="80" t="str">
        <f ca="1">C29</f>
        <v>Error</v>
      </c>
      <c r="C36" s="81">
        <f ca="1">IF($C$29=$E$126,C26,IF($C$29=$E$125,C25,IF($C$29="Error",0,C24)))</f>
        <v>0</v>
      </c>
      <c r="D36" s="81">
        <f t="shared" ref="D36:G36" ca="1" si="27">IF($C$29=$E$126,D26,IF($C$29=$E$125,D25,IF($C$29="Error",0,D24)))</f>
        <v>0</v>
      </c>
      <c r="E36" s="81">
        <f t="shared" ca="1" si="27"/>
        <v>0</v>
      </c>
      <c r="F36" s="81">
        <f t="shared" ca="1" si="27"/>
        <v>0</v>
      </c>
      <c r="G36" s="81">
        <f t="shared" ca="1" si="27"/>
        <v>0</v>
      </c>
      <c r="J36" s="82"/>
      <c r="O36" s="531">
        <f t="shared" si="3"/>
        <v>20</v>
      </c>
      <c r="Q36" s="532">
        <f>'Meteorological data'!G36</f>
        <v>7.6484018264840184E-3</v>
      </c>
      <c r="R36" s="533">
        <v>67</v>
      </c>
      <c r="S36" s="534">
        <f t="shared" ca="1" si="0"/>
        <v>22.333333333333332</v>
      </c>
      <c r="U36" s="534">
        <f t="shared" ca="1" si="5"/>
        <v>0</v>
      </c>
      <c r="V36" s="534">
        <f t="shared" ca="1" si="1"/>
        <v>0</v>
      </c>
      <c r="W36" s="81" t="s">
        <v>23</v>
      </c>
      <c r="X36" s="523" t="s">
        <v>521</v>
      </c>
    </row>
    <row r="37" spans="1:24" ht="42" customHeight="1">
      <c r="A37" s="82" t="s">
        <v>522</v>
      </c>
      <c r="B37" s="529" t="s">
        <v>523</v>
      </c>
      <c r="C37" s="568" t="e">
        <f ca="1">$E$105+(($E$109/2)*(($E$105-C3)/($E$105-$E$104)))+((AVERAGE($I$35,($I$35-$E$109))-$E$105)*(($E$105-C3)/($E$105-$E$104))^(1/$E$108))</f>
        <v>#VALUE!</v>
      </c>
      <c r="D37" s="568" t="e">
        <f ca="1">$E$105+(($E$109/2)*(($E$105-D3)/($E$105-$E$104)))+((AVERAGE($I$35,($I$35-$E$109))-$E$105)*(($E$105-D3)/($E$105-$E$104))^(1/$E$108))</f>
        <v>#VALUE!</v>
      </c>
      <c r="E37" s="568" t="e">
        <f ca="1">$E$105+(($E$109/2)*(($E$105-E3)/($E$105-$E$104)))+((AVERAGE($I$35,($I$35-$E$109))-$E$105)*(($E$105-E3)/($E$105-$E$104))^(1/$E$108))</f>
        <v>#VALUE!</v>
      </c>
      <c r="F37" s="568" t="e">
        <f ca="1">$E$105+(($E$109/2)*(($E$105-F3)/($E$105-$E$104)))+((AVERAGE($I$35,($I$35-$E$109))-$E$105)*(($E$105-F3)/($E$105-$E$104))^(1/$E$108))</f>
        <v>#VALUE!</v>
      </c>
      <c r="G37" s="568" t="e">
        <f ca="1">$E$105+(($E$109/2)*(($E$105-G3)/($E$105-$E$104)))+((AVERAGE($I$35,($I$35-$E$109))-$E$105)*(($E$105-G3)/($E$105-$E$104))^(1/$E$108))</f>
        <v>#VALUE!</v>
      </c>
      <c r="I37" s="527" t="str">
        <f ca="1">I35&amp;"degC basis for Supply Flow Temperature to meet the mandatory test points in Ecodesign, to use for single test point data"</f>
        <v>55degC basis for Supply Flow Temperature to meet the mandatory test points in Ecodesign, to use for single test point data</v>
      </c>
      <c r="J37" s="82"/>
      <c r="O37" s="531">
        <f t="shared" si="3"/>
        <v>21</v>
      </c>
      <c r="Q37" s="532">
        <f>'Meteorological data'!G37</f>
        <v>4.2237442922374432E-3</v>
      </c>
      <c r="R37" s="533">
        <v>37</v>
      </c>
      <c r="S37" s="534">
        <f t="shared" ca="1" si="0"/>
        <v>12.333333333333332</v>
      </c>
      <c r="U37" s="534">
        <f t="shared" ca="1" si="5"/>
        <v>0</v>
      </c>
      <c r="V37" s="534">
        <f t="shared" ca="1" si="1"/>
        <v>0</v>
      </c>
      <c r="W37" s="81" t="s">
        <v>23</v>
      </c>
    </row>
    <row r="38" spans="1:24" ht="38.25">
      <c r="A38" s="80" t="s">
        <v>524</v>
      </c>
      <c r="B38" s="529" t="s">
        <v>525</v>
      </c>
      <c r="C38" s="80">
        <f ca="1">IF(OR($E$98="Air to Water",$E$98="Air to Air"),C3,
IF(LEFT($E$98,7)="Exhaust",$E$105,
IF(OR($E$98="Water to Water",$E$98="Water to Air"),10,
IF($E$98="Direct exchange (DX)",4,
MAX(0,MIN(0.15*C3+1.5,4.5))))))</f>
        <v>0</v>
      </c>
      <c r="D38" s="80">
        <f ca="1">IF(OR($E$98="Air to Water",$E$98="Air to Air"),D3,
IF(LEFT($E$98,7)="Exhaust",$E$105,
IF(OR($E$98="Water to Water",$E$98="Water to Air"),10,
IF($E$98="Direct exchange (DX)",4,
MAX(0,MIN(0.15*D3+1.5,4.5))))))</f>
        <v>-7</v>
      </c>
      <c r="E38" s="80">
        <f ca="1">IF(OR($E$98="Air to Water",$E$98="Air to Air"),E3,
IF(LEFT($E$98,7)="Exhaust",$E$105,
IF(OR($E$98="Water to Water",$E$98="Water to Air"),10,
IF($E$98="Direct exchange (DX)",4,
MAX(0,MIN(0.15*E3+1.5,4.5))))))</f>
        <v>2</v>
      </c>
      <c r="F38" s="80">
        <f ca="1">IF(OR($E$98="Air to Water",$E$98="Air to Air"),F3,
IF(LEFT($E$98,7)="Exhaust",$E$105,
IF(OR($E$98="Water to Water",$E$98="Water to Air"),10,
IF($E$98="Direct exchange (DX)",4,
MAX(0,MIN(0.15*F3+1.5,4.5))))))</f>
        <v>7</v>
      </c>
      <c r="G38" s="80">
        <f ca="1">IF(OR($E$98="Air to Water",$E$98="Air to Air"),G3,
IF(LEFT($E$98,7)="Exhaust",$E$105,
IF(OR($E$98="Water to Water",$E$98="Water to Air"),10,
IF($E$98="Direct exchange (DX)",4,
MAX(0,MIN(0.15*G3+1.5,4.5))))))</f>
        <v>12</v>
      </c>
      <c r="I38" s="523" t="s">
        <v>526</v>
      </c>
      <c r="J38" s="82"/>
      <c r="K38" s="523"/>
      <c r="M38" s="523"/>
      <c r="N38" s="523"/>
      <c r="O38" s="531">
        <f t="shared" si="3"/>
        <v>22</v>
      </c>
      <c r="Q38" s="532">
        <f>'Meteorological data'!G38</f>
        <v>3.0821917808219177E-3</v>
      </c>
      <c r="R38" s="533">
        <v>27</v>
      </c>
      <c r="S38" s="534">
        <f t="shared" ca="1" si="0"/>
        <v>9</v>
      </c>
      <c r="U38" s="534">
        <f t="shared" ca="1" si="5"/>
        <v>0</v>
      </c>
      <c r="V38" s="534">
        <f t="shared" ca="1" si="1"/>
        <v>0</v>
      </c>
      <c r="W38" s="81" t="s">
        <v>23</v>
      </c>
    </row>
    <row r="39" spans="1:24" ht="119.25" customHeight="1">
      <c r="A39" s="80" t="s">
        <v>527</v>
      </c>
      <c r="B39" s="528" t="s">
        <v>528</v>
      </c>
      <c r="C39" s="81" t="e">
        <f ca="1">$E$105+
((($E$107-$E$110)/2)*
(($E$105-C3)/
($E$105-$E$104)))+
((AVERAGE($E$107,$E$110)-$E$105)*
(($E$105-C3)/($E$105-$E$104))^
(1/$E$108))</f>
        <v>#VALUE!</v>
      </c>
      <c r="D39" s="81" t="e">
        <f ca="1">$E$105+
((($E$107-$E$110)/2)*
(($E$105-D3)/
($E$105-$E$104)))+
((AVERAGE($E$107,$E$110)-$E$105)*
(($E$105-D3)/($E$105-$E$104))^
(1/$E$108))</f>
        <v>#VALUE!</v>
      </c>
      <c r="E39" s="81" t="e">
        <f ca="1">$E$105+
((($E$107-$E$110)/2)*
(($E$105-E3)/
($E$105-$E$104)))+
((AVERAGE($E$107,$E$110)-$E$105)*
(($E$105-E3)/($E$105-$E$104))^
(1/$E$108))</f>
        <v>#VALUE!</v>
      </c>
      <c r="F39" s="81" t="e">
        <f ca="1">$E$105+
((($E$107-$E$110)/2)*
(($E$105-F3)/
($E$105-$E$104)))+
((AVERAGE($E$107,$E$110)-$E$105)*
(($E$105-F3)/($E$105-$E$104))^
(1/$E$108))</f>
        <v>#VALUE!</v>
      </c>
      <c r="G39" s="81" t="e">
        <f ca="1">$E$105+
((($E$107-$E$110)/2)*
(($E$105-G3)/
($E$105-$E$104)))+
((AVERAGE($E$107,$E$110)-$E$105)*
(($E$105-G3)/($E$105-$E$104))^
(1/$E$108))</f>
        <v>#VALUE!</v>
      </c>
      <c r="H39" s="80" t="s">
        <v>23</v>
      </c>
      <c r="M39" s="523"/>
      <c r="O39" s="531">
        <f t="shared" si="3"/>
        <v>23</v>
      </c>
      <c r="Q39" s="532">
        <f>'Meteorological data'!G39</f>
        <v>2.2831050228310501E-3</v>
      </c>
      <c r="R39" s="533">
        <v>20</v>
      </c>
      <c r="S39" s="534">
        <f t="shared" ca="1" si="0"/>
        <v>6.6666666666666661</v>
      </c>
      <c r="U39" s="534">
        <f t="shared" ca="1" si="5"/>
        <v>0</v>
      </c>
      <c r="V39" s="534">
        <f t="shared" ca="1" si="1"/>
        <v>0</v>
      </c>
      <c r="W39" s="81" t="s">
        <v>23</v>
      </c>
    </row>
    <row r="40" spans="1:24" ht="43.35" customHeight="1">
      <c r="A40" s="80" t="s">
        <v>529</v>
      </c>
      <c r="B40" s="528" t="s">
        <v>530</v>
      </c>
      <c r="C40" s="718" t="s">
        <v>531</v>
      </c>
      <c r="D40" s="719"/>
      <c r="E40" s="719"/>
      <c r="F40" s="719"/>
      <c r="G40" s="719"/>
      <c r="H40" s="719"/>
      <c r="J40" s="82"/>
      <c r="K40" s="82"/>
      <c r="M40" s="82"/>
      <c r="N40" s="523"/>
      <c r="O40" s="531">
        <f t="shared" si="3"/>
        <v>24</v>
      </c>
      <c r="Q40" s="532">
        <f>'Meteorological data'!G40</f>
        <v>1.4840182648401827E-3</v>
      </c>
      <c r="R40" s="533">
        <v>13</v>
      </c>
      <c r="S40" s="534">
        <f t="shared" ca="1" si="0"/>
        <v>4.333333333333333</v>
      </c>
      <c r="U40" s="534">
        <f t="shared" ca="1" si="5"/>
        <v>0</v>
      </c>
      <c r="V40" s="534">
        <f t="shared" ca="1" si="1"/>
        <v>0</v>
      </c>
      <c r="W40" s="81" t="s">
        <v>23</v>
      </c>
    </row>
    <row r="41" spans="1:24" ht="25.5">
      <c r="A41" s="80" t="s">
        <v>532</v>
      </c>
      <c r="B41" s="528" t="s">
        <v>533</v>
      </c>
      <c r="C41" s="81">
        <f ca="1">IF($C$29="Error",C35,((C36-C35)/(C32-C31))*(C39-C31)+C35)</f>
        <v>0</v>
      </c>
      <c r="D41" s="81">
        <f ca="1">IF($C$29="Error",D35,((D36-D35)/(D32-D31))*(D39-D31)+D35)</f>
        <v>0</v>
      </c>
      <c r="E41" s="81">
        <f ca="1">IF($C$29="Error",E35,((E36-E35)/(E32-E31))*(E39-E31)+E35)</f>
        <v>0</v>
      </c>
      <c r="F41" s="81">
        <f ca="1">IF($C$29="Error",F35,((F36-F35)/(F32-F31))*(F39-F31)+F35)</f>
        <v>0</v>
      </c>
      <c r="G41" s="81">
        <f ca="1">IF($C$29="Error",G35,((G36-G35)/(G32-G31))*(G39-G31)+G35)</f>
        <v>0</v>
      </c>
      <c r="I41" s="527" t="s">
        <v>534</v>
      </c>
      <c r="J41" s="82"/>
      <c r="N41" s="82"/>
      <c r="O41" s="531">
        <f t="shared" si="3"/>
        <v>25</v>
      </c>
      <c r="Q41" s="532">
        <f>'Meteorological data'!G41</f>
        <v>0</v>
      </c>
      <c r="R41" s="533">
        <v>0</v>
      </c>
      <c r="S41" s="534">
        <f t="shared" ca="1" si="0"/>
        <v>0</v>
      </c>
      <c r="U41" s="534">
        <f t="shared" ca="1" si="5"/>
        <v>0</v>
      </c>
      <c r="V41" s="534">
        <f t="shared" ca="1" si="1"/>
        <v>0</v>
      </c>
      <c r="W41" s="81" t="s">
        <v>23</v>
      </c>
    </row>
    <row r="42" spans="1:24" ht="13.5" thickBot="1">
      <c r="C42" s="534"/>
      <c r="D42" s="534"/>
      <c r="E42" s="534"/>
      <c r="F42" s="534"/>
      <c r="G42" s="534"/>
      <c r="J42" s="82"/>
      <c r="O42" s="531">
        <f t="shared" si="3"/>
        <v>26</v>
      </c>
      <c r="Q42" s="532">
        <f>'Meteorological data'!G42</f>
        <v>0</v>
      </c>
      <c r="R42" s="533">
        <v>0</v>
      </c>
      <c r="S42" s="534">
        <f t="shared" ca="1" si="0"/>
        <v>0</v>
      </c>
      <c r="U42" s="534">
        <f t="shared" ca="1" si="5"/>
        <v>0</v>
      </c>
      <c r="V42" s="534">
        <f t="shared" ca="1" si="1"/>
        <v>0</v>
      </c>
      <c r="W42" s="81" t="s">
        <v>23</v>
      </c>
    </row>
    <row r="43" spans="1:24" ht="38.25">
      <c r="A43" s="80" t="s">
        <v>535</v>
      </c>
      <c r="B43" s="80" t="s">
        <v>536</v>
      </c>
      <c r="C43" s="80">
        <f ca="1">IF(C28="Low",F35,F35)</f>
        <v>0</v>
      </c>
      <c r="D43" s="80" t="s">
        <v>369</v>
      </c>
      <c r="I43" s="569" t="s">
        <v>537</v>
      </c>
      <c r="J43" s="570" t="s">
        <v>538</v>
      </c>
      <c r="K43" s="566" t="s">
        <v>539</v>
      </c>
      <c r="N43" s="82"/>
      <c r="O43" s="531">
        <f t="shared" si="3"/>
        <v>27</v>
      </c>
      <c r="Q43" s="532">
        <f>'Meteorological data'!G43</f>
        <v>0</v>
      </c>
      <c r="R43" s="533">
        <v>0</v>
      </c>
      <c r="S43" s="534">
        <f t="shared" ca="1" si="0"/>
        <v>0</v>
      </c>
      <c r="U43" s="534">
        <f t="shared" ca="1" si="5"/>
        <v>0</v>
      </c>
      <c r="V43" s="534">
        <f t="shared" ca="1" si="1"/>
        <v>0</v>
      </c>
      <c r="W43" s="81" t="s">
        <v>23</v>
      </c>
    </row>
    <row r="44" spans="1:24" ht="39" thickBot="1">
      <c r="A44" s="80" t="s">
        <v>540</v>
      </c>
      <c r="B44" s="571" t="s">
        <v>541</v>
      </c>
      <c r="C44" s="81">
        <f ca="1">C43/(4.182*J44)</f>
        <v>0</v>
      </c>
      <c r="D44" s="81" t="s">
        <v>23</v>
      </c>
      <c r="F44" s="81" t="s">
        <v>23</v>
      </c>
      <c r="G44" s="81" t="s">
        <v>23</v>
      </c>
      <c r="I44" s="527" t="s">
        <v>542</v>
      </c>
      <c r="J44" s="572">
        <f ca="1">IF(E133="Electricity",5,7+10*(K44-35)/30)</f>
        <v>5</v>
      </c>
      <c r="K44" s="567">
        <f ca="1">E131</f>
        <v>55</v>
      </c>
      <c r="O44" s="531">
        <f t="shared" si="3"/>
        <v>28</v>
      </c>
      <c r="Q44" s="532">
        <f>'Meteorological data'!G44</f>
        <v>0</v>
      </c>
      <c r="R44" s="533">
        <v>0</v>
      </c>
      <c r="S44" s="534">
        <f t="shared" ca="1" si="0"/>
        <v>0</v>
      </c>
      <c r="U44" s="534">
        <f t="shared" ca="1" si="5"/>
        <v>0</v>
      </c>
      <c r="V44" s="534">
        <f t="shared" ca="1" si="1"/>
        <v>0</v>
      </c>
      <c r="W44" s="81" t="s">
        <v>23</v>
      </c>
    </row>
    <row r="45" spans="1:24" ht="14.25">
      <c r="A45" s="80" t="s">
        <v>543</v>
      </c>
      <c r="B45" s="528" t="s">
        <v>544</v>
      </c>
      <c r="C45" s="81" t="e">
        <f ca="1">C35/($C$44*4.182)</f>
        <v>#DIV/0!</v>
      </c>
      <c r="D45" s="81" t="e">
        <f t="shared" ref="C45:G46" ca="1" si="28">D35/($C$44*4.182)</f>
        <v>#DIV/0!</v>
      </c>
      <c r="E45" s="81" t="e">
        <f t="shared" ca="1" si="28"/>
        <v>#DIV/0!</v>
      </c>
      <c r="F45" s="81" t="e">
        <f t="shared" ca="1" si="28"/>
        <v>#DIV/0!</v>
      </c>
      <c r="G45" s="81" t="e">
        <f t="shared" ca="1" si="28"/>
        <v>#DIV/0!</v>
      </c>
      <c r="J45" s="82"/>
      <c r="O45" s="531">
        <f t="shared" si="3"/>
        <v>29</v>
      </c>
      <c r="Q45" s="532">
        <f>'Meteorological data'!G45</f>
        <v>0</v>
      </c>
      <c r="R45" s="533">
        <v>0</v>
      </c>
      <c r="S45" s="534">
        <f t="shared" ca="1" si="0"/>
        <v>0</v>
      </c>
      <c r="U45" s="534">
        <f t="shared" ca="1" si="5"/>
        <v>0</v>
      </c>
      <c r="V45" s="534">
        <f t="shared" ca="1" si="1"/>
        <v>0</v>
      </c>
      <c r="W45" s="81" t="s">
        <v>23</v>
      </c>
    </row>
    <row r="46" spans="1:24" ht="14.25">
      <c r="A46" s="80" t="s">
        <v>545</v>
      </c>
      <c r="B46" s="528" t="s">
        <v>544</v>
      </c>
      <c r="C46" s="81" t="e">
        <f t="shared" ca="1" si="28"/>
        <v>#DIV/0!</v>
      </c>
      <c r="D46" s="81" t="e">
        <f t="shared" ca="1" si="28"/>
        <v>#DIV/0!</v>
      </c>
      <c r="E46" s="81" t="e">
        <f t="shared" ca="1" si="28"/>
        <v>#DIV/0!</v>
      </c>
      <c r="F46" s="81" t="e">
        <f t="shared" ca="1" si="28"/>
        <v>#DIV/0!</v>
      </c>
      <c r="G46" s="81" t="e">
        <f t="shared" ca="1" si="28"/>
        <v>#DIV/0!</v>
      </c>
      <c r="J46" s="82"/>
      <c r="O46" s="531">
        <f t="shared" si="3"/>
        <v>30</v>
      </c>
      <c r="Q46" s="532">
        <f>'Meteorological data'!G46</f>
        <v>0</v>
      </c>
      <c r="R46" s="533">
        <v>0</v>
      </c>
      <c r="S46" s="534">
        <f t="shared" ca="1" si="0"/>
        <v>0</v>
      </c>
      <c r="U46" s="534">
        <f t="shared" ca="1" si="5"/>
        <v>0</v>
      </c>
      <c r="V46" s="534">
        <f t="shared" ca="1" si="1"/>
        <v>0</v>
      </c>
      <c r="W46" s="81" t="s">
        <v>23</v>
      </c>
    </row>
    <row r="47" spans="1:24">
      <c r="A47" s="80" t="s">
        <v>546</v>
      </c>
      <c r="B47" s="80" t="s">
        <v>547</v>
      </c>
      <c r="C47" s="81" t="e">
        <f ca="1">E93/1000</f>
        <v>#VALUE!</v>
      </c>
      <c r="D47" s="81" t="s">
        <v>369</v>
      </c>
      <c r="E47" s="81"/>
      <c r="F47" s="81"/>
      <c r="G47" s="81"/>
      <c r="I47" s="523" t="s">
        <v>548</v>
      </c>
      <c r="J47" s="83" t="e">
        <f ca="1">C43/C47</f>
        <v>#VALUE!</v>
      </c>
      <c r="K47" s="82"/>
      <c r="M47" s="82"/>
      <c r="N47" s="523"/>
      <c r="O47" s="531">
        <f t="shared" si="3"/>
        <v>31</v>
      </c>
      <c r="Q47" s="532">
        <f>'Meteorological data'!G47</f>
        <v>0</v>
      </c>
      <c r="R47" s="533">
        <v>0</v>
      </c>
      <c r="S47" s="534">
        <f t="shared" ca="1" si="0"/>
        <v>0</v>
      </c>
      <c r="U47" s="534">
        <f t="shared" ca="1" si="5"/>
        <v>0</v>
      </c>
      <c r="V47" s="534">
        <f t="shared" ca="1" si="1"/>
        <v>0</v>
      </c>
      <c r="W47" s="81" t="s">
        <v>23</v>
      </c>
    </row>
    <row r="48" spans="1:24">
      <c r="A48" s="80" t="s">
        <v>549</v>
      </c>
      <c r="B48" s="80" t="s">
        <v>550</v>
      </c>
      <c r="C48" s="81">
        <f ca="1">$E$107-$E$110</f>
        <v>10</v>
      </c>
      <c r="D48" s="81"/>
      <c r="E48" s="81"/>
      <c r="F48" s="81"/>
      <c r="G48" s="81"/>
      <c r="J48" s="82"/>
      <c r="O48" s="531">
        <f t="shared" si="3"/>
        <v>32</v>
      </c>
      <c r="Q48" s="532">
        <f>'Meteorological data'!G48</f>
        <v>0</v>
      </c>
      <c r="R48" s="533">
        <v>0</v>
      </c>
      <c r="S48" s="534">
        <f t="shared" ca="1" si="0"/>
        <v>0</v>
      </c>
      <c r="U48" s="534">
        <f t="shared" ca="1" si="5"/>
        <v>0</v>
      </c>
      <c r="V48" s="534">
        <f t="shared" ca="1" si="1"/>
        <v>0</v>
      </c>
      <c r="W48" s="81" t="s">
        <v>23</v>
      </c>
    </row>
    <row r="49" spans="1:23">
      <c r="A49" s="80" t="s">
        <v>551</v>
      </c>
      <c r="B49" s="571" t="s">
        <v>541</v>
      </c>
      <c r="C49" s="81" t="e">
        <f ca="1">C47/(C48*4.182)</f>
        <v>#VALUE!</v>
      </c>
      <c r="J49" s="82"/>
      <c r="K49" s="523"/>
      <c r="M49" s="523"/>
      <c r="O49" s="531">
        <f t="shared" si="3"/>
        <v>33</v>
      </c>
      <c r="Q49" s="532">
        <f>'Meteorological data'!G49</f>
        <v>0</v>
      </c>
      <c r="R49" s="533">
        <v>0</v>
      </c>
      <c r="S49" s="534">
        <f t="shared" ca="1" si="0"/>
        <v>0</v>
      </c>
      <c r="U49" s="534">
        <f t="shared" ca="1" si="5"/>
        <v>0</v>
      </c>
      <c r="V49" s="534">
        <f t="shared" ca="1" si="1"/>
        <v>0</v>
      </c>
      <c r="W49" s="81" t="s">
        <v>23</v>
      </c>
    </row>
    <row r="50" spans="1:23" ht="25.5">
      <c r="A50" s="82" t="s">
        <v>552</v>
      </c>
      <c r="B50" s="528" t="s">
        <v>544</v>
      </c>
      <c r="C50" s="81" t="e">
        <f ca="1">C35/($C$49*4.182)</f>
        <v>#VALUE!</v>
      </c>
      <c r="D50" s="81" t="e">
        <f t="shared" ref="D50:G51" ca="1" si="29">D35/($C$49*4.182)</f>
        <v>#VALUE!</v>
      </c>
      <c r="E50" s="81" t="e">
        <f t="shared" ca="1" si="29"/>
        <v>#VALUE!</v>
      </c>
      <c r="F50" s="81" t="e">
        <f t="shared" ca="1" si="29"/>
        <v>#VALUE!</v>
      </c>
      <c r="G50" s="81" t="e">
        <f t="shared" ca="1" si="29"/>
        <v>#VALUE!</v>
      </c>
      <c r="J50" s="82"/>
      <c r="O50" s="531">
        <f t="shared" si="3"/>
        <v>34</v>
      </c>
      <c r="Q50" s="532">
        <f>'Meteorological data'!G50</f>
        <v>0</v>
      </c>
      <c r="R50" s="533">
        <v>0</v>
      </c>
      <c r="S50" s="534">
        <f t="shared" ca="1" si="0"/>
        <v>0</v>
      </c>
      <c r="U50" s="534">
        <f t="shared" ca="1" si="5"/>
        <v>0</v>
      </c>
      <c r="V50" s="534">
        <f t="shared" ca="1" si="1"/>
        <v>0</v>
      </c>
      <c r="W50" s="81" t="s">
        <v>23</v>
      </c>
    </row>
    <row r="51" spans="1:23" ht="25.5">
      <c r="A51" s="82" t="s">
        <v>553</v>
      </c>
      <c r="B51" s="528" t="s">
        <v>544</v>
      </c>
      <c r="C51" s="81" t="e">
        <f ca="1">C36/($C$49*4.182)</f>
        <v>#VALUE!</v>
      </c>
      <c r="D51" s="81" t="e">
        <f t="shared" ca="1" si="29"/>
        <v>#VALUE!</v>
      </c>
      <c r="E51" s="81" t="e">
        <f t="shared" ca="1" si="29"/>
        <v>#VALUE!</v>
      </c>
      <c r="F51" s="81" t="e">
        <f t="shared" ca="1" si="29"/>
        <v>#VALUE!</v>
      </c>
      <c r="G51" s="81" t="e">
        <f t="shared" ca="1" si="29"/>
        <v>#VALUE!</v>
      </c>
      <c r="J51" s="82"/>
      <c r="O51" s="531">
        <f t="shared" si="3"/>
        <v>35</v>
      </c>
      <c r="Q51" s="532">
        <f>'Meteorological data'!G51</f>
        <v>0</v>
      </c>
      <c r="R51" s="533">
        <v>0</v>
      </c>
      <c r="S51" s="534">
        <f t="shared" ca="1" si="0"/>
        <v>0</v>
      </c>
      <c r="U51" s="534">
        <f t="shared" ca="1" si="5"/>
        <v>0</v>
      </c>
      <c r="V51" s="534">
        <f t="shared" ca="1" si="1"/>
        <v>0</v>
      </c>
      <c r="W51" s="81" t="s">
        <v>23</v>
      </c>
    </row>
    <row r="52" spans="1:23" ht="38.25">
      <c r="A52" s="80" t="s">
        <v>554</v>
      </c>
      <c r="B52" s="571" t="s">
        <v>555</v>
      </c>
      <c r="C52" s="81" t="e">
        <f ca="1">1-((C45-C50)/2)/((273.15+C31)-C45/2+5-(273.15+C38-5))</f>
        <v>#DIV/0!</v>
      </c>
      <c r="D52" s="81" t="e">
        <f ca="1">1-((D45-D50)/2)/((273.15+D31)-D45/2+5-(273.15+D38-5))</f>
        <v>#DIV/0!</v>
      </c>
      <c r="E52" s="81" t="e">
        <f ca="1">1-((E45-E50)/2)/((273.15+E31)-E45/2+5-(273.15+E38-5))</f>
        <v>#DIV/0!</v>
      </c>
      <c r="F52" s="81" t="e">
        <f ca="1">1-((F45-F50)/2)/((273.15+F31)-F45/2+5-(273.15+F38-5))</f>
        <v>#DIV/0!</v>
      </c>
      <c r="G52" s="81" t="e">
        <f ca="1">1-((G45-G50)/2)/((273.15+G31)-G45/2+5-(273.15+G38-5))</f>
        <v>#DIV/0!</v>
      </c>
      <c r="I52" s="529" t="s">
        <v>556</v>
      </c>
      <c r="J52" s="82"/>
      <c r="Q52" s="532"/>
      <c r="R52" s="532"/>
      <c r="S52" s="532"/>
      <c r="U52" s="534"/>
      <c r="V52" s="534"/>
      <c r="W52" s="81"/>
    </row>
    <row r="53" spans="1:23" ht="38.25">
      <c r="A53" s="80" t="s">
        <v>557</v>
      </c>
      <c r="B53" s="571" t="s">
        <v>555</v>
      </c>
      <c r="C53" s="81" t="e">
        <f ca="1">1-((C46-C51)/2)/((273.15+C32)-C46/2+5-(273.15+C38-5))</f>
        <v>#DIV/0!</v>
      </c>
      <c r="D53" s="81" t="e">
        <f ca="1">1-((D46-D51)/2)/((273.15+D32)-D46/2+5-(273.15+D38-5))</f>
        <v>#DIV/0!</v>
      </c>
      <c r="E53" s="81" t="e">
        <f ca="1">1-((E46-E51)/2)/((273.15+E32)-E46/2+5-(273.15+E38-5))</f>
        <v>#DIV/0!</v>
      </c>
      <c r="F53" s="81" t="e">
        <f ca="1">1-((F46-F51)/2)/((273.15+F32)-F46/2+5-(273.15+F38-5))</f>
        <v>#DIV/0!</v>
      </c>
      <c r="G53" s="81" t="e">
        <f ca="1">1-((G46-G51)/2)/((273.15+G32)-G46/2+5-(273.15+G38-5))</f>
        <v>#DIV/0!</v>
      </c>
      <c r="I53" s="529" t="s">
        <v>558</v>
      </c>
      <c r="J53" s="82"/>
    </row>
    <row r="54" spans="1:23">
      <c r="A54" s="80" t="s">
        <v>559</v>
      </c>
      <c r="B54" s="571" t="s">
        <v>555</v>
      </c>
      <c r="C54" s="534" t="e">
        <f ca="1">C33*C52</f>
        <v>#DIV/0!</v>
      </c>
      <c r="D54" s="534" t="e">
        <f ca="1">D33*D52</f>
        <v>#DIV/0!</v>
      </c>
      <c r="E54" s="534" t="e">
        <f t="shared" ref="D54:G55" ca="1" si="30">E33*E52</f>
        <v>#DIV/0!</v>
      </c>
      <c r="F54" s="534" t="e">
        <f t="shared" ca="1" si="30"/>
        <v>#DIV/0!</v>
      </c>
      <c r="G54" s="534" t="e">
        <f t="shared" ca="1" si="30"/>
        <v>#DIV/0!</v>
      </c>
      <c r="J54" s="82"/>
    </row>
    <row r="55" spans="1:23">
      <c r="A55" s="80" t="s">
        <v>560</v>
      </c>
      <c r="B55" s="571" t="s">
        <v>555</v>
      </c>
      <c r="C55" s="81" t="e">
        <f ca="1">C34*C53</f>
        <v>#DIV/0!</v>
      </c>
      <c r="D55" s="81" t="e">
        <f t="shared" ca="1" si="30"/>
        <v>#DIV/0!</v>
      </c>
      <c r="E55" s="81" t="e">
        <f t="shared" ca="1" si="30"/>
        <v>#DIV/0!</v>
      </c>
      <c r="F55" s="81" t="e">
        <f t="shared" ca="1" si="30"/>
        <v>#DIV/0!</v>
      </c>
      <c r="G55" s="81" t="e">
        <f ca="1">G34*G53</f>
        <v>#DIV/0!</v>
      </c>
      <c r="J55" s="82"/>
    </row>
    <row r="56" spans="1:23" ht="78">
      <c r="A56" s="80" t="s">
        <v>561</v>
      </c>
      <c r="B56" s="529" t="s">
        <v>562</v>
      </c>
      <c r="C56" s="81" t="e">
        <f ca="1">MAX(0.5,IF($C$29="Error",IF($E$99="Fixed Outlet",C54,C54*(((273.15+C37)*(C31-C6))/((273.15+C31)*(C37-C38)))),((C55-C54)/(C32-C31))*(C39-C31)+C54))</f>
        <v>#DIV/0!</v>
      </c>
      <c r="D56" s="81" t="e">
        <f t="shared" ref="D56:G56" ca="1" si="31">MAX(0.5,IF($C$29="Error",IF($E$99="Fixed Outlet",D54,D54*(((273.15+D37)*(D31-D6))/((273.15+D31)*(D37-D38)))),((D55-D54)/(D32-D31))*(D39-D31)+D54))</f>
        <v>#DIV/0!</v>
      </c>
      <c r="E56" s="81" t="e">
        <f t="shared" ca="1" si="31"/>
        <v>#DIV/0!</v>
      </c>
      <c r="F56" s="81" t="e">
        <f t="shared" ca="1" si="31"/>
        <v>#DIV/0!</v>
      </c>
      <c r="G56" s="81" t="e">
        <f t="shared" ca="1" si="31"/>
        <v>#DIV/0!</v>
      </c>
      <c r="H56" s="81" t="s">
        <v>23</v>
      </c>
      <c r="I56" s="529" t="s">
        <v>563</v>
      </c>
      <c r="J56" s="82" t="s">
        <v>23</v>
      </c>
    </row>
    <row r="57" spans="1:23" ht="36" customHeight="1">
      <c r="A57" s="523" t="s">
        <v>23</v>
      </c>
      <c r="B57" s="523" t="s">
        <v>23</v>
      </c>
      <c r="C57" s="523" t="s">
        <v>23</v>
      </c>
      <c r="D57" s="523" t="s">
        <v>23</v>
      </c>
      <c r="E57" s="523" t="s">
        <v>23</v>
      </c>
      <c r="F57" s="523" t="s">
        <v>23</v>
      </c>
      <c r="G57" s="523" t="s">
        <v>23</v>
      </c>
      <c r="H57" s="523" t="s">
        <v>23</v>
      </c>
      <c r="J57" s="82"/>
    </row>
    <row r="58" spans="1:23">
      <c r="A58" s="80" t="s">
        <v>564</v>
      </c>
      <c r="C58" s="80" t="s">
        <v>565</v>
      </c>
      <c r="J58" s="82"/>
    </row>
    <row r="59" spans="1:23">
      <c r="J59" s="82"/>
    </row>
    <row r="60" spans="1:23">
      <c r="A60" s="80" t="s">
        <v>566</v>
      </c>
      <c r="B60" s="80" t="s">
        <v>92</v>
      </c>
      <c r="C60" s="81">
        <f ca="1">C8</f>
        <v>0</v>
      </c>
      <c r="D60" s="81">
        <f ca="1">D8</f>
        <v>0</v>
      </c>
      <c r="E60" s="81">
        <f ca="1">E8</f>
        <v>0</v>
      </c>
      <c r="F60" s="81">
        <f ca="1">F8</f>
        <v>0</v>
      </c>
      <c r="G60" s="81">
        <f ca="1">G8</f>
        <v>0</v>
      </c>
      <c r="H60" s="81">
        <f ca="1">SUM(C60:G60)</f>
        <v>0</v>
      </c>
      <c r="J60" s="82"/>
    </row>
    <row r="61" spans="1:23" ht="25.5">
      <c r="A61" s="82" t="s">
        <v>567</v>
      </c>
      <c r="B61" s="80" t="s">
        <v>92</v>
      </c>
      <c r="C61" s="534" t="e">
        <f ca="1">SUM(AC4:AC7)</f>
        <v>#VALUE!</v>
      </c>
      <c r="D61" s="534" t="e">
        <f ca="1">SUM(AC8:AC13)</f>
        <v>#VALUE!</v>
      </c>
      <c r="E61" s="534" t="e">
        <f ca="1">SUM(AC14:AC20)</f>
        <v>#VALUE!</v>
      </c>
      <c r="F61" s="534" t="e">
        <f ca="1">SUM(AC21:AC25)</f>
        <v>#VALUE!</v>
      </c>
      <c r="G61" s="534" t="e">
        <f ca="1">SUM(AC26:AC31)</f>
        <v>#VALUE!</v>
      </c>
      <c r="H61" s="534" t="e">
        <f ca="1">SUM(C61:G61)</f>
        <v>#VALUE!</v>
      </c>
      <c r="I61" s="536"/>
      <c r="J61" s="82"/>
      <c r="N61" s="523"/>
    </row>
    <row r="62" spans="1:23" ht="36.6" customHeight="1">
      <c r="A62" s="82" t="s">
        <v>568</v>
      </c>
      <c r="B62" s="80" t="s">
        <v>92</v>
      </c>
      <c r="C62" s="80" t="e">
        <f t="shared" ref="C62:H62" ca="1" si="32">C61/$E$118</f>
        <v>#VALUE!</v>
      </c>
      <c r="D62" s="80" t="e">
        <f t="shared" ca="1" si="32"/>
        <v>#VALUE!</v>
      </c>
      <c r="E62" s="80" t="e">
        <f t="shared" ca="1" si="32"/>
        <v>#VALUE!</v>
      </c>
      <c r="F62" s="80" t="e">
        <f t="shared" ca="1" si="32"/>
        <v>#VALUE!</v>
      </c>
      <c r="G62" s="80" t="e">
        <f t="shared" ca="1" si="32"/>
        <v>#VALUE!</v>
      </c>
      <c r="H62" s="80" t="e">
        <f t="shared" ca="1" si="32"/>
        <v>#VALUE!</v>
      </c>
      <c r="I62" s="527" t="s">
        <v>569</v>
      </c>
      <c r="J62" s="82"/>
    </row>
    <row r="63" spans="1:23">
      <c r="A63" s="80" t="s">
        <v>570</v>
      </c>
      <c r="J63" s="82"/>
    </row>
    <row r="64" spans="1:23">
      <c r="A64" s="80" t="s">
        <v>571</v>
      </c>
      <c r="J64" s="82"/>
    </row>
    <row r="65" spans="1:29">
      <c r="A65" s="80" t="s">
        <v>572</v>
      </c>
      <c r="J65" s="82"/>
    </row>
    <row r="66" spans="1:29">
      <c r="J66" s="82"/>
    </row>
    <row r="67" spans="1:29" ht="25.5">
      <c r="A67" s="527" t="s">
        <v>573</v>
      </c>
      <c r="B67" s="80" t="s">
        <v>92</v>
      </c>
      <c r="C67" s="534" t="e">
        <f ca="1">(C60-C61)/C56</f>
        <v>#VALUE!</v>
      </c>
      <c r="D67" s="534" t="e">
        <f ca="1">(D60-D61)/D56</f>
        <v>#VALUE!</v>
      </c>
      <c r="E67" s="534" t="e">
        <f ca="1">(E60-E61)/E56</f>
        <v>#VALUE!</v>
      </c>
      <c r="F67" s="534" t="e">
        <f ca="1">(F60-F61)/F56</f>
        <v>#VALUE!</v>
      </c>
      <c r="G67" s="534" t="e">
        <f ca="1">(G60-G61)/G56</f>
        <v>#VALUE!</v>
      </c>
      <c r="H67" s="534" t="e">
        <f ca="1">SUM(C67:G67)</f>
        <v>#VALUE!</v>
      </c>
      <c r="J67" s="82"/>
    </row>
    <row r="68" spans="1:29">
      <c r="A68" s="82"/>
      <c r="J68" s="82"/>
    </row>
    <row r="69" spans="1:29" ht="25.5">
      <c r="A69" s="527" t="s">
        <v>574</v>
      </c>
      <c r="B69" s="80" t="s">
        <v>92</v>
      </c>
      <c r="C69" s="534" t="e">
        <f ca="1">C62+C67</f>
        <v>#VALUE!</v>
      </c>
      <c r="D69" s="534" t="e">
        <f ca="1">D62+D67</f>
        <v>#VALUE!</v>
      </c>
      <c r="E69" s="534" t="e">
        <f ca="1">E62+E67</f>
        <v>#VALUE!</v>
      </c>
      <c r="F69" s="534" t="e">
        <f ca="1">F62+F67</f>
        <v>#VALUE!</v>
      </c>
      <c r="G69" s="534" t="e">
        <f ca="1">G62+G67</f>
        <v>#VALUE!</v>
      </c>
      <c r="H69" s="534" t="e">
        <f ca="1">SUM(C69:G69)</f>
        <v>#VALUE!</v>
      </c>
      <c r="J69" s="82"/>
    </row>
    <row r="70" spans="1:29">
      <c r="J70" s="82"/>
    </row>
    <row r="71" spans="1:29">
      <c r="A71" s="80" t="s">
        <v>575</v>
      </c>
      <c r="H71" s="573" t="e">
        <f ca="1">H60/H69</f>
        <v>#VALUE!</v>
      </c>
      <c r="J71" s="82"/>
    </row>
    <row r="72" spans="1:29">
      <c r="J72" s="82"/>
    </row>
    <row r="73" spans="1:29" s="574" customFormat="1">
      <c r="A73" s="574" t="s">
        <v>576</v>
      </c>
      <c r="H73" s="574" t="e">
        <f ca="1">IF(H71&gt;2.5,(H71-2.5)*H69,0)</f>
        <v>#VALUE!</v>
      </c>
      <c r="I73" s="574" t="s">
        <v>92</v>
      </c>
      <c r="J73" s="575"/>
      <c r="L73" s="575"/>
      <c r="AC73" s="575"/>
    </row>
    <row r="74" spans="1:29">
      <c r="J74" s="82"/>
    </row>
    <row r="75" spans="1:29">
      <c r="A75" s="80" t="s">
        <v>577</v>
      </c>
      <c r="B75" s="80" t="s">
        <v>92</v>
      </c>
      <c r="C75" s="81" t="e">
        <f ca="1">C60-C61</f>
        <v>#VALUE!</v>
      </c>
      <c r="D75" s="81" t="e">
        <f ca="1">D60-D61</f>
        <v>#VALUE!</v>
      </c>
      <c r="E75" s="81" t="e">
        <f ca="1">E60-E61</f>
        <v>#VALUE!</v>
      </c>
      <c r="F75" s="81" t="e">
        <f ca="1">F60-F61</f>
        <v>#VALUE!</v>
      </c>
      <c r="G75" s="81" t="e">
        <f ca="1">G60-G61</f>
        <v>#VALUE!</v>
      </c>
      <c r="H75" s="81" t="e">
        <f ca="1">SUM(C75:G75)</f>
        <v>#VALUE!</v>
      </c>
      <c r="J75" s="82"/>
      <c r="N75" s="82"/>
    </row>
    <row r="76" spans="1:29">
      <c r="J76" s="82"/>
    </row>
    <row r="77" spans="1:29">
      <c r="A77" s="80" t="s">
        <v>578</v>
      </c>
      <c r="H77" s="576" t="e">
        <f ca="1">H75/H67</f>
        <v>#VALUE!</v>
      </c>
      <c r="J77" s="82"/>
    </row>
    <row r="78" spans="1:29">
      <c r="J78" s="82"/>
    </row>
    <row r="79" spans="1:29">
      <c r="A79" s="80" t="s">
        <v>579</v>
      </c>
      <c r="C79" s="3" t="e">
        <f ca="1">(C60-C61)-C67</f>
        <v>#VALUE!</v>
      </c>
      <c r="D79" s="3" t="e">
        <f t="shared" ref="D79:H79" ca="1" si="33">(D60-D61)-D67</f>
        <v>#VALUE!</v>
      </c>
      <c r="E79" s="3" t="e">
        <f t="shared" ca="1" si="33"/>
        <v>#VALUE!</v>
      </c>
      <c r="F79" s="3" t="e">
        <f t="shared" ca="1" si="33"/>
        <v>#VALUE!</v>
      </c>
      <c r="G79" s="3" t="e">
        <f ca="1">(G60-G61)-G67</f>
        <v>#VALUE!</v>
      </c>
      <c r="H79" s="3" t="e">
        <f t="shared" ca="1" si="33"/>
        <v>#VALUE!</v>
      </c>
      <c r="I79" s="80" t="s">
        <v>92</v>
      </c>
      <c r="J79" s="82"/>
      <c r="N79" s="523"/>
    </row>
    <row r="80" spans="1:29">
      <c r="A80" t="s">
        <v>580</v>
      </c>
      <c r="B80"/>
      <c r="C80" s="577" t="e">
        <f ca="1">(C41*(1-1/C56)-($E$136*1.2/3600)*(20-(C3)))/(C41*(1-1/C56))</f>
        <v>#DIV/0!</v>
      </c>
      <c r="D80" s="577" t="e">
        <f ca="1">(D41*(1-1/D56)-($E$136*1.2/3600)*(20-(D3)))/(D41*(1-1/D56))</f>
        <v>#DIV/0!</v>
      </c>
      <c r="E80" s="577" t="e">
        <f ca="1">(E41*(1-1/E56)-($E$136*1.2/3600)*(20-(E3)))/(E41*(1-1/E56))</f>
        <v>#DIV/0!</v>
      </c>
      <c r="F80" s="577" t="e">
        <f ca="1">(F41*(1-1/F56)-($E$136*1.2/3600)*(20-(F3)))/(F41*(1-1/F56))</f>
        <v>#DIV/0!</v>
      </c>
      <c r="G80" s="577" t="e">
        <f ca="1">(G41*(1-1/G56)-($E$136*1.2/3600)*(20-(G3)))/(G41*(1-1/G56))</f>
        <v>#DIV/0!</v>
      </c>
      <c r="J80" s="82"/>
    </row>
    <row r="81" spans="1:14">
      <c r="J81" s="82"/>
    </row>
    <row r="82" spans="1:14">
      <c r="A82" s="523" t="s">
        <v>581</v>
      </c>
      <c r="C82" t="e">
        <f ca="1">C79*C80</f>
        <v>#VALUE!</v>
      </c>
      <c r="D82" t="e">
        <f t="shared" ref="D82:G82" ca="1" si="34">D79*D80</f>
        <v>#VALUE!</v>
      </c>
      <c r="E82" t="e">
        <f t="shared" ca="1" si="34"/>
        <v>#VALUE!</v>
      </c>
      <c r="F82" t="e">
        <f t="shared" ca="1" si="34"/>
        <v>#VALUE!</v>
      </c>
      <c r="G82" t="e">
        <f t="shared" ca="1" si="34"/>
        <v>#VALUE!</v>
      </c>
      <c r="H82" s="578" t="e">
        <f ca="1">SUM(C82:G82)</f>
        <v>#VALUE!</v>
      </c>
      <c r="I82" s="80" t="s">
        <v>582</v>
      </c>
      <c r="J82" s="82"/>
      <c r="N82" s="523"/>
    </row>
    <row r="83" spans="1:14">
      <c r="J83" s="82"/>
    </row>
    <row r="84" spans="1:14">
      <c r="J84" s="82"/>
    </row>
    <row r="85" spans="1:14">
      <c r="H85" s="579">
        <f ca="1">IF(LEFT(E98,7)="Exhaust",H82/H79,1)</f>
        <v>1</v>
      </c>
      <c r="I85" s="80" t="s">
        <v>583</v>
      </c>
      <c r="J85" s="82"/>
    </row>
    <row r="86" spans="1:14">
      <c r="H86" s="81"/>
      <c r="J86" s="82"/>
    </row>
    <row r="87" spans="1:14">
      <c r="J87" s="82"/>
    </row>
    <row r="88" spans="1:14">
      <c r="J88" s="82"/>
    </row>
    <row r="89" spans="1:14" ht="25.5">
      <c r="A89" s="283" t="s">
        <v>429</v>
      </c>
      <c r="B89" s="284" t="s">
        <v>430</v>
      </c>
      <c r="C89" s="284" t="s">
        <v>431</v>
      </c>
      <c r="D89" s="284" t="s">
        <v>432</v>
      </c>
      <c r="E89" s="580"/>
      <c r="F89" s="580"/>
      <c r="G89" s="580"/>
      <c r="H89" s="580"/>
      <c r="I89" s="274"/>
      <c r="J89" s="82"/>
    </row>
    <row r="90" spans="1:14" ht="60" customHeight="1">
      <c r="A90" s="276" t="s">
        <v>584</v>
      </c>
      <c r="B90" s="276" t="str">
        <f>RIGHT(B89)</f>
        <v>1</v>
      </c>
      <c r="C90" s="276" t="str">
        <f>RIGHT(C89)</f>
        <v>2</v>
      </c>
      <c r="D90" s="276" t="str">
        <f>RIGHT(D89)</f>
        <v>3</v>
      </c>
      <c r="E90" s="276" t="s">
        <v>434</v>
      </c>
      <c r="F90" s="277" t="s">
        <v>177</v>
      </c>
      <c r="G90" s="277" t="s">
        <v>178</v>
      </c>
      <c r="H90" s="277" t="s">
        <v>435</v>
      </c>
      <c r="I90" s="82"/>
      <c r="J90" s="82"/>
    </row>
    <row r="91" spans="1:14" ht="15.75">
      <c r="A91" s="282" t="str">
        <f>HP_1!O12</f>
        <v>Same HP for Space and Water Heating</v>
      </c>
      <c r="B91" s="581" t="b">
        <f>HP_1!N12</f>
        <v>1</v>
      </c>
      <c r="C91" s="279" t="b" cm="1">
        <f t="array" aca="1" ref="C91" ca="1">INDIRECT($F91&amp;C$90&amp;"!"&amp;$G91)</f>
        <v>1</v>
      </c>
      <c r="D91" s="279" t="b" cm="1">
        <f t="array" aca="1" ref="D91" ca="1">INDIRECT($F91&amp;D$90&amp;"!"&amp;$G91)</f>
        <v>1</v>
      </c>
      <c r="E91" s="293" t="b">
        <f ca="1">VLOOKUP(A91,A91:D91,$K$1+1,FALSE)</f>
        <v>1</v>
      </c>
      <c r="F91" s="280" t="str">
        <f ca="1">LEFT(H91,FIND("1",H91)-1)</f>
        <v>HP_</v>
      </c>
      <c r="G91" s="280" t="str">
        <f ca="1">RIGHT(H91,LEN(H91)-FIND("!",H91))</f>
        <v>N12</v>
      </c>
      <c r="H91" s="281" t="str">
        <f ca="1">SUBSTITUTE( _xlfn.FORMULATEXT(B91),"=","")</f>
        <v>HP_1!N12</v>
      </c>
    </row>
    <row r="92" spans="1:14" ht="15.75">
      <c r="A92" s="282" t="str">
        <f>HP_1!A3</f>
        <v>Total heat loss (W/K) taken from DEAP</v>
      </c>
      <c r="B92" s="278">
        <f>HP_1!B3</f>
        <v>0</v>
      </c>
      <c r="C92" s="279" cm="1">
        <f t="array" aca="1" ref="C92" ca="1">INDIRECT($F92&amp;C$90&amp;"!"&amp;$G92)</f>
        <v>0</v>
      </c>
      <c r="D92" s="279" cm="1">
        <f t="array" aca="1" ref="D92" ca="1">INDIRECT($F92&amp;D$90&amp;"!"&amp;$G92)</f>
        <v>0</v>
      </c>
      <c r="E92" s="294">
        <f ca="1">VLOOKUP(A92,A92:D92,$K$1+1,FALSE)</f>
        <v>0</v>
      </c>
      <c r="F92" s="280" t="str">
        <f ca="1">LEFT(H92,FIND("1",H92)-1)</f>
        <v>HP_</v>
      </c>
      <c r="G92" s="280" t="str">
        <f ca="1">RIGHT(H92,LEN(H92)-FIND("!",H92))</f>
        <v>B3</v>
      </c>
      <c r="H92" s="281" t="str">
        <f ca="1">SUBSTITUTE( _xlfn.FORMULATEXT(B92),"=","")</f>
        <v>HP_1!B3</v>
      </c>
    </row>
    <row r="93" spans="1:14" ht="60">
      <c r="A93" s="282" t="str">
        <f>HP_1!A4</f>
        <v>Heat Loss Watts</v>
      </c>
      <c r="B93" s="581" t="str">
        <f>HP_1!B4</f>
        <v>Please complete DEAPEntries tab</v>
      </c>
      <c r="C93" s="279" t="str" cm="1">
        <f t="array" aca="1" ref="C93" ca="1">INDIRECT($F93&amp;C$90&amp;"!"&amp;$G93)</f>
        <v>Please complete DEAPEntries tab</v>
      </c>
      <c r="D93" s="279" t="str" cm="1">
        <f t="array" aca="1" ref="D93" ca="1">INDIRECT($F93&amp;D$90&amp;"!"&amp;$G93)</f>
        <v>Please complete DEAPEntries tab</v>
      </c>
      <c r="E93" s="294" t="str">
        <f t="shared" ref="E93:E150" ca="1" si="35">VLOOKUP(A93,A93:D93,$K$1+1,FALSE)</f>
        <v>Please complete DEAPEntries tab</v>
      </c>
      <c r="F93" s="280" t="str">
        <f t="shared" ref="F93:F150" ca="1" si="36">LEFT(H93,FIND("1",H93)-1)</f>
        <v>HP_</v>
      </c>
      <c r="G93" s="280" t="str">
        <f t="shared" ref="G93:G150" ca="1" si="37">RIGHT(H93,LEN(H93)-FIND("!",H93))</f>
        <v>B4</v>
      </c>
      <c r="H93" s="281" t="str">
        <f t="shared" ref="H93:H150" ca="1" si="38">SUBSTITUTE( _xlfn.FORMULATEXT(B93),"=","")</f>
        <v>HP_1!B4</v>
      </c>
    </row>
    <row r="94" spans="1:14" ht="31.5">
      <c r="A94" s="282" t="str">
        <f>HP_1!A5</f>
        <v>Is this Heat Pump part of a Group Heating Scheme</v>
      </c>
      <c r="B94" s="581" t="str">
        <f>HP_1!B5</f>
        <v>Yes</v>
      </c>
      <c r="C94" s="279" t="str" cm="1">
        <f t="array" aca="1" ref="C94" ca="1">INDIRECT($F94&amp;C$90&amp;"!"&amp;$G94)</f>
        <v>No</v>
      </c>
      <c r="D94" s="279" t="str" cm="1">
        <f t="array" aca="1" ref="D94" ca="1">INDIRECT($F94&amp;D$90&amp;"!"&amp;$G94)</f>
        <v>No</v>
      </c>
      <c r="E94" s="295" t="str">
        <f t="shared" ca="1" si="35"/>
        <v>No</v>
      </c>
      <c r="F94" s="280" t="str">
        <f t="shared" ca="1" si="36"/>
        <v>HP_</v>
      </c>
      <c r="G94" s="280" t="str">
        <f t="shared" ca="1" si="37"/>
        <v>B5</v>
      </c>
      <c r="H94" s="281" t="str">
        <f t="shared" ca="1" si="38"/>
        <v>HP_1!B5</v>
      </c>
    </row>
    <row r="95" spans="1:14" ht="31.5">
      <c r="A95" s="282" t="str">
        <f>HP_1!A6</f>
        <v>Proportion of main space heating provided by this heat pump</v>
      </c>
      <c r="B95" s="581">
        <f>HP_1!B6</f>
        <v>1</v>
      </c>
      <c r="C95" s="279" cm="1">
        <f t="array" aca="1" ref="C95" ca="1">INDIRECT($F95&amp;C$90&amp;"!"&amp;$G95)</f>
        <v>0</v>
      </c>
      <c r="D95" s="279" cm="1">
        <f t="array" aca="1" ref="D95" ca="1">INDIRECT($F95&amp;D$90&amp;"!"&amp;$G95)</f>
        <v>0</v>
      </c>
      <c r="E95" s="296">
        <f t="shared" ca="1" si="35"/>
        <v>0</v>
      </c>
      <c r="F95" s="280" t="str">
        <f t="shared" ca="1" si="36"/>
        <v>HP_</v>
      </c>
      <c r="G95" s="280" t="str">
        <f t="shared" ca="1" si="37"/>
        <v>B6</v>
      </c>
      <c r="H95" s="281" t="str">
        <f t="shared" ca="1" si="38"/>
        <v>HP_1!B6</v>
      </c>
    </row>
    <row r="96" spans="1:14" ht="15.75">
      <c r="A96" s="282" t="str">
        <f>HP_1!A7</f>
        <v>Floor Area of Dwelling</v>
      </c>
      <c r="B96" s="581">
        <f>HP_1!B7</f>
        <v>0</v>
      </c>
      <c r="C96" s="279" cm="1">
        <f t="array" aca="1" ref="C96" ca="1">INDIRECT($F96&amp;C$90&amp;"!"&amp;$G96)</f>
        <v>0</v>
      </c>
      <c r="D96" s="279" cm="1">
        <f t="array" aca="1" ref="D96" ca="1">INDIRECT($F96&amp;D$90&amp;"!"&amp;$G96)</f>
        <v>0</v>
      </c>
      <c r="E96" s="295">
        <f t="shared" ca="1" si="35"/>
        <v>0</v>
      </c>
      <c r="F96" s="280" t="str">
        <f t="shared" ca="1" si="36"/>
        <v>HP_</v>
      </c>
      <c r="G96" s="280" t="str">
        <f t="shared" ca="1" si="37"/>
        <v>B7</v>
      </c>
      <c r="H96" s="281" t="str">
        <f t="shared" ca="1" si="38"/>
        <v>HP_1!B7</v>
      </c>
    </row>
    <row r="97" spans="1:8" ht="31.5">
      <c r="A97" s="282" t="str">
        <f>HP_1!A8</f>
        <v>If Heat Pump serves a Group Heat Scheme, the total Floor Area served by Heat Pump is:</v>
      </c>
      <c r="B97" s="581">
        <f>HP_1!B8</f>
        <v>0</v>
      </c>
      <c r="C97" s="279" cm="1">
        <f t="array" aca="1" ref="C97" ca="1">INDIRECT($F97&amp;C$90&amp;"!"&amp;$G97)</f>
        <v>0</v>
      </c>
      <c r="D97" s="279" cm="1">
        <f t="array" aca="1" ref="D97" ca="1">INDIRECT($F97&amp;D$90&amp;"!"&amp;$G97)</f>
        <v>0</v>
      </c>
      <c r="E97" s="295">
        <f t="shared" ca="1" si="35"/>
        <v>0</v>
      </c>
      <c r="F97" s="280" t="str">
        <f t="shared" ca="1" si="36"/>
        <v>HP_</v>
      </c>
      <c r="G97" s="280" t="str">
        <f t="shared" ca="1" si="37"/>
        <v>B8</v>
      </c>
      <c r="H97" s="281" t="str">
        <f t="shared" ca="1" si="38"/>
        <v>HP_1!B8</v>
      </c>
    </row>
    <row r="98" spans="1:8" ht="15.75">
      <c r="A98" s="282" t="str">
        <f>HP_1!A12</f>
        <v>Type of heat pump</v>
      </c>
      <c r="B98" s="581" t="str">
        <f>HP_1!B12</f>
        <v>Air to Water</v>
      </c>
      <c r="C98" s="279" t="str" cm="1">
        <f t="array" aca="1" ref="C98" ca="1">INDIRECT($F98&amp;C$90&amp;"!"&amp;$G98)</f>
        <v>Air to Water</v>
      </c>
      <c r="D98" s="279" t="str" cm="1">
        <f t="array" aca="1" ref="D98" ca="1">INDIRECT($F98&amp;D$90&amp;"!"&amp;$G98)</f>
        <v>Air to Water</v>
      </c>
      <c r="E98" s="295" t="str">
        <f t="shared" ca="1" si="35"/>
        <v>Air to Water</v>
      </c>
      <c r="F98" s="280" t="str">
        <f t="shared" ca="1" si="36"/>
        <v>HP_</v>
      </c>
      <c r="G98" s="280" t="str">
        <f t="shared" ca="1" si="37"/>
        <v>B12</v>
      </c>
      <c r="H98" s="281" t="str">
        <f t="shared" ca="1" si="38"/>
        <v>HP_1!B12</v>
      </c>
    </row>
    <row r="99" spans="1:8" ht="47.25">
      <c r="A99" s="282" t="str">
        <f>HP_1!A13</f>
        <v>Temperature Control 
(refered to as Capacity Control in Ecodesign Standard Template)</v>
      </c>
      <c r="B99" s="581" t="str">
        <f>HP_1!B13</f>
        <v>Fixed Outlet</v>
      </c>
      <c r="C99" s="279" t="str" cm="1">
        <f t="array" aca="1" ref="C99" ca="1">INDIRECT($F99&amp;C$90&amp;"!"&amp;$G99)</f>
        <v>Fixed Outlet</v>
      </c>
      <c r="D99" s="279" t="str" cm="1">
        <f t="array" aca="1" ref="D99" ca="1">INDIRECT($F99&amp;D$90&amp;"!"&amp;$G99)</f>
        <v>Fixed Outlet</v>
      </c>
      <c r="E99" s="295" t="str">
        <f t="shared" ca="1" si="35"/>
        <v>Fixed Outlet</v>
      </c>
      <c r="F99" s="280" t="str">
        <f t="shared" ca="1" si="36"/>
        <v>HP_</v>
      </c>
      <c r="G99" s="280" t="str">
        <f t="shared" ca="1" si="37"/>
        <v>B13</v>
      </c>
      <c r="H99" s="281" t="str">
        <f t="shared" ca="1" si="38"/>
        <v>HP_1!B13</v>
      </c>
    </row>
    <row r="100" spans="1:8" ht="15.75">
      <c r="A100" s="282" t="str">
        <f>HP_1!A14</f>
        <v>Space Heating Test Standard</v>
      </c>
      <c r="B100" s="278" t="str">
        <f>HP_1!B14</f>
        <v>I.S. EN 14825</v>
      </c>
      <c r="C100" s="279" t="str" cm="1">
        <f t="array" aca="1" ref="C100" ca="1">INDIRECT($F100&amp;C$90&amp;"!"&amp;$G100)</f>
        <v>I.S. EN 14825</v>
      </c>
      <c r="D100" s="279" t="str" cm="1">
        <f t="array" aca="1" ref="D100" ca="1">INDIRECT($F100&amp;D$90&amp;"!"&amp;$G100)</f>
        <v>I.S. EN 14825</v>
      </c>
      <c r="E100" s="293" t="str">
        <f t="shared" ca="1" si="35"/>
        <v>I.S. EN 14825</v>
      </c>
      <c r="F100" s="280" t="str">
        <f t="shared" ca="1" si="36"/>
        <v>HP_</v>
      </c>
      <c r="G100" s="280" t="str">
        <f t="shared" ca="1" si="37"/>
        <v>B14</v>
      </c>
      <c r="H100" s="281" t="str">
        <f t="shared" ca="1" si="38"/>
        <v>HP_1!B14</v>
      </c>
    </row>
    <row r="101" spans="1:8" ht="15.75">
      <c r="A101" s="282" t="str">
        <f>HP_1!A15</f>
        <v>Operation Limit Temperature (TOL)</v>
      </c>
      <c r="B101" s="278" t="str">
        <f>HP_1!B15</f>
        <v xml:space="preserve"> </v>
      </c>
      <c r="C101" s="279" cm="1">
        <f t="array" aca="1" ref="C101" ca="1">INDIRECT($F101&amp;C$90&amp;"!"&amp;$G101)</f>
        <v>0</v>
      </c>
      <c r="D101" s="279" cm="1">
        <f t="array" aca="1" ref="D101" ca="1">INDIRECT($F101&amp;D$90&amp;"!"&amp;$G101)</f>
        <v>0</v>
      </c>
      <c r="E101" s="293">
        <f t="shared" ca="1" si="35"/>
        <v>0</v>
      </c>
      <c r="F101" s="280" t="str">
        <f t="shared" ca="1" si="36"/>
        <v>HP_</v>
      </c>
      <c r="G101" s="280" t="str">
        <f t="shared" ca="1" si="37"/>
        <v>B15</v>
      </c>
      <c r="H101" s="281" t="str">
        <f t="shared" ca="1" si="38"/>
        <v>HP_1!B15</v>
      </c>
    </row>
    <row r="102" spans="1:8" ht="31.5">
      <c r="A102" s="282" t="str">
        <f>HP_1!A16</f>
        <v>Heating water operating limit temperature (WTOL)</v>
      </c>
      <c r="B102" s="278" t="str">
        <f>HP_1!B16</f>
        <v xml:space="preserve"> </v>
      </c>
      <c r="C102" s="279" cm="1">
        <f t="array" aca="1" ref="C102" ca="1">INDIRECT($F102&amp;C$90&amp;"!"&amp;$G102)</f>
        <v>0</v>
      </c>
      <c r="D102" s="279" cm="1">
        <f t="array" aca="1" ref="D102" ca="1">INDIRECT($F102&amp;D$90&amp;"!"&amp;$G102)</f>
        <v>0</v>
      </c>
      <c r="E102" s="293">
        <f t="shared" ca="1" si="35"/>
        <v>0</v>
      </c>
      <c r="F102" s="280" t="str">
        <f t="shared" ca="1" si="36"/>
        <v>HP_</v>
      </c>
      <c r="G102" s="280" t="str">
        <f t="shared" ca="1" si="37"/>
        <v>B16</v>
      </c>
      <c r="H102" s="281" t="str">
        <f t="shared" ca="1" si="38"/>
        <v>HP_1!B16</v>
      </c>
    </row>
    <row r="103" spans="1:8" ht="15.75">
      <c r="A103" s="282" t="str">
        <f>HP_1!A17</f>
        <v>Annual space heating provided by Heat Pump</v>
      </c>
      <c r="B103" s="278">
        <f>HP_1!B17</f>
        <v>0</v>
      </c>
      <c r="C103" s="279" cm="1">
        <f t="array" aca="1" ref="C103" ca="1">INDIRECT($F103&amp;C$90&amp;"!"&amp;$G103)</f>
        <v>0</v>
      </c>
      <c r="D103" s="279" cm="1">
        <f t="array" aca="1" ref="D103" ca="1">INDIRECT($F103&amp;D$90&amp;"!"&amp;$G103)</f>
        <v>0</v>
      </c>
      <c r="E103" s="297">
        <f t="shared" ca="1" si="35"/>
        <v>0</v>
      </c>
      <c r="F103" s="280" t="str">
        <f t="shared" ca="1" si="36"/>
        <v>HP_</v>
      </c>
      <c r="G103" s="280" t="str">
        <f t="shared" ca="1" si="37"/>
        <v>B17</v>
      </c>
      <c r="H103" s="281" t="str">
        <f t="shared" ca="1" si="38"/>
        <v>HP_1!B17</v>
      </c>
    </row>
    <row r="104" spans="1:8" ht="15.75">
      <c r="A104" s="282" t="str">
        <f>HP_1!A18</f>
        <v>Design Outdoor Temperature</v>
      </c>
      <c r="B104" s="581">
        <f>HP_1!B18</f>
        <v>-3</v>
      </c>
      <c r="C104" s="279" cm="1">
        <f t="array" aca="1" ref="C104" ca="1">INDIRECT($F104&amp;C$90&amp;"!"&amp;$G104)</f>
        <v>-3</v>
      </c>
      <c r="D104" s="279" cm="1">
        <f t="array" aca="1" ref="D104" ca="1">INDIRECT($F104&amp;D$90&amp;"!"&amp;$G104)</f>
        <v>-3</v>
      </c>
      <c r="E104" s="293">
        <f t="shared" ca="1" si="35"/>
        <v>-3</v>
      </c>
      <c r="F104" s="280" t="str">
        <f t="shared" ca="1" si="36"/>
        <v>HP_</v>
      </c>
      <c r="G104" s="280" t="str">
        <f t="shared" ca="1" si="37"/>
        <v>B18</v>
      </c>
      <c r="H104" s="281" t="str">
        <f t="shared" ca="1" si="38"/>
        <v>HP_1!B18</v>
      </c>
    </row>
    <row r="105" spans="1:8" ht="31.5">
      <c r="A105" s="282" t="str">
        <f>HP_1!A19</f>
        <v>Indoor Design Temperature (Mean Internal Temperature)</v>
      </c>
      <c r="B105" s="582" t="str">
        <f>HP_1!B19</f>
        <v>Please complete DEAP Entries tab</v>
      </c>
      <c r="C105" s="279" t="str" cm="1">
        <f t="array" aca="1" ref="C105" ca="1">INDIRECT($F105&amp;C$90&amp;"!"&amp;$G105)</f>
        <v>Please complete DEAP Entries tab</v>
      </c>
      <c r="D105" s="279" t="str" cm="1">
        <f t="array" aca="1" ref="D105" ca="1">INDIRECT($F105&amp;D$90&amp;"!"&amp;$G105)</f>
        <v>Please complete DEAP Entries tab</v>
      </c>
      <c r="E105" s="293" t="str">
        <f t="shared" ca="1" si="35"/>
        <v>Please complete DEAP Entries tab</v>
      </c>
      <c r="F105" s="280" t="str">
        <f t="shared" ca="1" si="36"/>
        <v>HP_</v>
      </c>
      <c r="G105" s="280" t="str">
        <f t="shared" ca="1" si="37"/>
        <v>B19</v>
      </c>
      <c r="H105" s="281" t="str">
        <f t="shared" ca="1" si="38"/>
        <v>HP_1!B19</v>
      </c>
    </row>
    <row r="106" spans="1:8" ht="15.75">
      <c r="A106" s="282" t="str">
        <f>HP_1!A24</f>
        <v>Air used as Emitter (to Air Units)</v>
      </c>
      <c r="B106" s="581" t="str">
        <f>HP_1!B24</f>
        <v>No</v>
      </c>
      <c r="C106" s="279" t="str" cm="1">
        <f t="array" aca="1" ref="C106" ca="1">INDIRECT($F106&amp;C$90&amp;"!"&amp;$G106)</f>
        <v>No</v>
      </c>
      <c r="D106" s="279" t="str" cm="1">
        <f t="array" aca="1" ref="D106" ca="1">INDIRECT($F106&amp;D$90&amp;"!"&amp;$G106)</f>
        <v>No</v>
      </c>
      <c r="E106" s="293" t="str">
        <f t="shared" ca="1" si="35"/>
        <v>No</v>
      </c>
      <c r="F106" s="280" t="str">
        <f t="shared" ca="1" si="36"/>
        <v>HP_</v>
      </c>
      <c r="G106" s="280" t="str">
        <f t="shared" ca="1" si="37"/>
        <v>B24</v>
      </c>
      <c r="H106" s="281" t="str">
        <f t="shared" ca="1" si="38"/>
        <v>HP_1!B24</v>
      </c>
    </row>
    <row r="107" spans="1:8" ht="47.25">
      <c r="A107" s="282" t="str">
        <f>HP_1!A25</f>
        <v>Design Flow Temperature
Use "Default Supply Temperature" unless other evidence available</v>
      </c>
      <c r="B107" s="581">
        <f>HP_1!B25</f>
        <v>0</v>
      </c>
      <c r="C107" s="279" cm="1">
        <f t="array" aca="1" ref="C107" ca="1">INDIRECT($F107&amp;C$90&amp;"!"&amp;$G107)</f>
        <v>0</v>
      </c>
      <c r="D107" s="279" cm="1">
        <f t="array" aca="1" ref="D107" ca="1">INDIRECT($F107&amp;D$90&amp;"!"&amp;$G107)</f>
        <v>0</v>
      </c>
      <c r="E107" s="293">
        <f t="shared" ca="1" si="35"/>
        <v>0</v>
      </c>
      <c r="F107" s="280" t="str">
        <f t="shared" ca="1" si="36"/>
        <v>HP_</v>
      </c>
      <c r="G107" s="280" t="str">
        <f t="shared" ca="1" si="37"/>
        <v>B25</v>
      </c>
      <c r="H107" s="281" t="str">
        <f t="shared" ca="1" si="38"/>
        <v>HP_1!B25</v>
      </c>
    </row>
    <row r="108" spans="1:8" ht="31.5">
      <c r="A108" s="282" t="str">
        <f>HP_1!A26</f>
        <v>Exponent n, characterising type of emission system</v>
      </c>
      <c r="B108" s="581">
        <f>HP_1!B26</f>
        <v>1.2</v>
      </c>
      <c r="C108" s="279" cm="1">
        <f t="array" aca="1" ref="C108" ca="1">INDIRECT($F108&amp;C$90&amp;"!"&amp;$G108)</f>
        <v>1.2</v>
      </c>
      <c r="D108" s="279" cm="1">
        <f t="array" aca="1" ref="D108" ca="1">INDIRECT($F108&amp;D$90&amp;"!"&amp;$G108)</f>
        <v>1.2</v>
      </c>
      <c r="E108" s="293">
        <f t="shared" ca="1" si="35"/>
        <v>1.2</v>
      </c>
      <c r="F108" s="280" t="str">
        <f t="shared" ca="1" si="36"/>
        <v>HP_</v>
      </c>
      <c r="G108" s="280" t="str">
        <f t="shared" ca="1" si="37"/>
        <v>B26</v>
      </c>
      <c r="H108" s="281" t="str">
        <f t="shared" ca="1" si="38"/>
        <v>HP_1!B26</v>
      </c>
    </row>
    <row r="109" spans="1:8" ht="15.75">
      <c r="A109" s="282" t="str">
        <f>HP_1!A27</f>
        <v>Emitter Temperature Drop</v>
      </c>
      <c r="B109" s="581">
        <f>HP_1!B27</f>
        <v>10</v>
      </c>
      <c r="C109" s="279" cm="1">
        <f t="array" aca="1" ref="C109" ca="1">INDIRECT($F109&amp;C$90&amp;"!"&amp;$G109)</f>
        <v>10</v>
      </c>
      <c r="D109" s="279" cm="1">
        <f t="array" aca="1" ref="D109" ca="1">INDIRECT($F109&amp;D$90&amp;"!"&amp;$G109)</f>
        <v>10</v>
      </c>
      <c r="E109" s="293">
        <f t="shared" ca="1" si="35"/>
        <v>10</v>
      </c>
      <c r="F109" s="280" t="str">
        <f t="shared" ca="1" si="36"/>
        <v>HP_</v>
      </c>
      <c r="G109" s="280" t="str">
        <f t="shared" ca="1" si="37"/>
        <v>B27</v>
      </c>
      <c r="H109" s="281" t="str">
        <f t="shared" ca="1" si="38"/>
        <v>HP_1!B27</v>
      </c>
    </row>
    <row r="110" spans="1:8" ht="15.75">
      <c r="A110" s="282" t="str">
        <f>HP_1!A28</f>
        <v>Return Temperature at design conditions</v>
      </c>
      <c r="B110" s="581">
        <f>HP_1!B28</f>
        <v>-10</v>
      </c>
      <c r="C110" s="279" cm="1">
        <f t="array" aca="1" ref="C110" ca="1">INDIRECT($F110&amp;C$90&amp;"!"&amp;$G110)</f>
        <v>-10</v>
      </c>
      <c r="D110" s="279" cm="1">
        <f t="array" aca="1" ref="D110" ca="1">INDIRECT($F110&amp;D$90&amp;"!"&amp;$G110)</f>
        <v>-10</v>
      </c>
      <c r="E110" s="293">
        <f t="shared" ca="1" si="35"/>
        <v>-10</v>
      </c>
      <c r="F110" s="280" t="str">
        <f t="shared" ca="1" si="36"/>
        <v>HP_</v>
      </c>
      <c r="G110" s="280" t="str">
        <f t="shared" ca="1" si="37"/>
        <v>B28</v>
      </c>
      <c r="H110" s="281" t="str">
        <f t="shared" ca="1" si="38"/>
        <v>HP_1!B28</v>
      </c>
    </row>
    <row r="111" spans="1:8" ht="15.75">
      <c r="A111" s="282" t="str">
        <f>HP_1!A29</f>
        <v>No of Hrs per Day Heat Pump in Operation</v>
      </c>
      <c r="B111" s="320">
        <f>HP_1!B29</f>
        <v>8</v>
      </c>
      <c r="C111" s="279" cm="1">
        <f t="array" aca="1" ref="C111" ca="1">INDIRECT($F111&amp;C$90&amp;"!"&amp;$G111)</f>
        <v>8</v>
      </c>
      <c r="D111" s="279" cm="1">
        <f t="array" aca="1" ref="D111" ca="1">INDIRECT($F111&amp;D$90&amp;"!"&amp;$G111)</f>
        <v>8</v>
      </c>
      <c r="E111" s="293">
        <f t="shared" ca="1" si="35"/>
        <v>8</v>
      </c>
      <c r="F111" s="280" t="str">
        <f t="shared" ca="1" si="36"/>
        <v>HP_</v>
      </c>
      <c r="G111" s="280" t="str">
        <f t="shared" ca="1" si="37"/>
        <v>B29</v>
      </c>
      <c r="H111" s="281" t="str">
        <f t="shared" ca="1" si="38"/>
        <v>HP_1!B29</v>
      </c>
    </row>
    <row r="112" spans="1:8" ht="15.75">
      <c r="A112" s="282" t="str">
        <f>HP_1!A30</f>
        <v>Cut-out hours</v>
      </c>
      <c r="B112" s="581">
        <f>HP_1!B30</f>
        <v>16</v>
      </c>
      <c r="C112" s="279" cm="1">
        <f t="array" aca="1" ref="C112" ca="1">INDIRECT($F112&amp;C$90&amp;"!"&amp;$G112)</f>
        <v>16</v>
      </c>
      <c r="D112" s="279" cm="1">
        <f t="array" aca="1" ref="D112" ca="1">INDIRECT($F112&amp;D$90&amp;"!"&amp;$G112)</f>
        <v>16</v>
      </c>
      <c r="E112" s="293">
        <f t="shared" ca="1" si="35"/>
        <v>16</v>
      </c>
      <c r="F112" s="280" t="str">
        <f t="shared" ca="1" si="36"/>
        <v>HP_</v>
      </c>
      <c r="G112" s="280" t="str">
        <f t="shared" ca="1" si="37"/>
        <v>B30</v>
      </c>
      <c r="H112" s="281" t="str">
        <f t="shared" ca="1" si="38"/>
        <v>HP_1!B30</v>
      </c>
    </row>
    <row r="113" spans="1:8" ht="15.75">
      <c r="A113" s="282" t="str">
        <f>HP_1!A31</f>
        <v>Heat pump fuel primary energy factor</v>
      </c>
      <c r="B113" s="581">
        <f>HP_1!B31</f>
        <v>1.75</v>
      </c>
      <c r="C113" s="279" cm="1">
        <f t="array" aca="1" ref="C113" ca="1">INDIRECT($F113&amp;C$90&amp;"!"&amp;$G113)</f>
        <v>1.75</v>
      </c>
      <c r="D113" s="279" cm="1">
        <f t="array" aca="1" ref="D113" ca="1">INDIRECT($F113&amp;D$90&amp;"!"&amp;$G113)</f>
        <v>1.75</v>
      </c>
      <c r="E113" s="293">
        <f t="shared" ca="1" si="35"/>
        <v>1.75</v>
      </c>
      <c r="F113" s="280" t="str">
        <f t="shared" ca="1" si="36"/>
        <v>HP_</v>
      </c>
      <c r="G113" s="280" t="str">
        <f t="shared" ca="1" si="37"/>
        <v>B31</v>
      </c>
      <c r="H113" s="281" t="str">
        <f t="shared" ca="1" si="38"/>
        <v>HP_1!B31</v>
      </c>
    </row>
    <row r="114" spans="1:8" ht="31.5">
      <c r="A114" s="282" t="str">
        <f>HP_1!A32</f>
        <v>Is a Back Up Space Heater Present within Dwelling</v>
      </c>
      <c r="B114" s="581" t="str">
        <f>HP_1!B32</f>
        <v>No</v>
      </c>
      <c r="C114" s="279" t="str" cm="1">
        <f t="array" aca="1" ref="C114" ca="1">INDIRECT($F114&amp;C$90&amp;"!"&amp;$G114)</f>
        <v>No</v>
      </c>
      <c r="D114" s="279" t="str" cm="1">
        <f t="array" aca="1" ref="D114" ca="1">INDIRECT($F114&amp;D$90&amp;"!"&amp;$G114)</f>
        <v>No</v>
      </c>
      <c r="E114" s="293" t="str">
        <f t="shared" ca="1" si="35"/>
        <v>No</v>
      </c>
      <c r="F114" s="280" t="str">
        <f t="shared" ca="1" si="36"/>
        <v>HP_</v>
      </c>
      <c r="G114" s="280" t="str">
        <f t="shared" ca="1" si="37"/>
        <v>B32</v>
      </c>
      <c r="H114" s="281" t="str">
        <f t="shared" ca="1" si="38"/>
        <v>HP_1!B32</v>
      </c>
    </row>
    <row r="115" spans="1:8" ht="15.75">
      <c r="A115" s="282" t="str">
        <f>HP_1!A33</f>
        <v>Back Up Space Heater Fuel</v>
      </c>
      <c r="B115" s="581" t="str">
        <f>HP_1!B33</f>
        <v>Electricity</v>
      </c>
      <c r="C115" s="279" t="str" cm="1">
        <f t="array" aca="1" ref="C115" ca="1">INDIRECT($F115&amp;C$90&amp;"!"&amp;$G115)</f>
        <v>Electricity</v>
      </c>
      <c r="D115" s="279" t="str" cm="1">
        <f t="array" aca="1" ref="D115" ca="1">INDIRECT($F115&amp;D$90&amp;"!"&amp;$G115)</f>
        <v>Electricity</v>
      </c>
      <c r="E115" s="293" t="str">
        <f t="shared" ca="1" si="35"/>
        <v>Electricity</v>
      </c>
      <c r="F115" s="280" t="str">
        <f t="shared" ca="1" si="36"/>
        <v>HP_</v>
      </c>
      <c r="G115" s="280" t="str">
        <f t="shared" ca="1" si="37"/>
        <v>B33</v>
      </c>
      <c r="H115" s="281" t="str">
        <f t="shared" ca="1" si="38"/>
        <v>HP_1!B33</v>
      </c>
    </row>
    <row r="116" spans="1:8" ht="15.75">
      <c r="A116" s="282" t="str">
        <f>HP_1!A34</f>
        <v>Primary Energy Factor for Back Up Space Heater</v>
      </c>
      <c r="B116" s="581">
        <f>HP_1!B34</f>
        <v>1.75</v>
      </c>
      <c r="C116" s="279" cm="1">
        <f t="array" aca="1" ref="C116" ca="1">INDIRECT($F116&amp;C$90&amp;"!"&amp;$G116)</f>
        <v>1.75</v>
      </c>
      <c r="D116" s="279" cm="1">
        <f t="array" aca="1" ref="D116" ca="1">INDIRECT($F116&amp;D$90&amp;"!"&amp;$G116)</f>
        <v>1.75</v>
      </c>
      <c r="E116" s="293">
        <f t="shared" ca="1" si="35"/>
        <v>1.75</v>
      </c>
      <c r="F116" s="280" t="str">
        <f t="shared" ca="1" si="36"/>
        <v>HP_</v>
      </c>
      <c r="G116" s="280" t="str">
        <f t="shared" ca="1" si="37"/>
        <v>B34</v>
      </c>
      <c r="H116" s="281" t="str">
        <f t="shared" ca="1" si="38"/>
        <v>HP_1!B34</v>
      </c>
    </row>
    <row r="117" spans="1:8" ht="15.75">
      <c r="A117" s="282" t="str">
        <f>HP_1!A35</f>
        <v>Efficiency of Back up Space Heater</v>
      </c>
      <c r="B117" s="581">
        <f>HP_1!B35</f>
        <v>0</v>
      </c>
      <c r="C117" s="279" cm="1">
        <f t="array" aca="1" ref="C117" ca="1">INDIRECT($F117&amp;C$90&amp;"!"&amp;$G117)</f>
        <v>0</v>
      </c>
      <c r="D117" s="279" cm="1">
        <f t="array" aca="1" ref="D117" ca="1">INDIRECT($F117&amp;D$90&amp;"!"&amp;$G117)</f>
        <v>0</v>
      </c>
      <c r="E117" s="293">
        <f t="shared" ca="1" si="35"/>
        <v>0</v>
      </c>
      <c r="F117" s="280" t="str">
        <f t="shared" ca="1" si="36"/>
        <v>HP_</v>
      </c>
      <c r="G117" s="280" t="str">
        <f t="shared" ca="1" si="37"/>
        <v>B35</v>
      </c>
      <c r="H117" s="281" t="str">
        <f t="shared" ca="1" si="38"/>
        <v>HP_1!B35</v>
      </c>
    </row>
    <row r="118" spans="1:8" ht="31.5">
      <c r="A118" s="282" t="str">
        <f>HP_1!A36</f>
        <v>Adjusted Efficiency of Back up Space Heater relative to fuel used for heat pump</v>
      </c>
      <c r="B118" s="583">
        <f>HP_1!B36</f>
        <v>1</v>
      </c>
      <c r="C118" s="279" cm="1">
        <f t="array" aca="1" ref="C118" ca="1">INDIRECT($F118&amp;C$90&amp;"!"&amp;$G118)</f>
        <v>1</v>
      </c>
      <c r="D118" s="279" cm="1">
        <f t="array" aca="1" ref="D118" ca="1">INDIRECT($F118&amp;D$90&amp;"!"&amp;$G118)</f>
        <v>1</v>
      </c>
      <c r="E118" s="298">
        <f t="shared" ca="1" si="35"/>
        <v>1</v>
      </c>
      <c r="F118" s="280" t="str">
        <f t="shared" ca="1" si="36"/>
        <v>HP_</v>
      </c>
      <c r="G118" s="280" t="str">
        <f t="shared" ca="1" si="37"/>
        <v>B36</v>
      </c>
      <c r="H118" s="281" t="str">
        <f t="shared" ca="1" si="38"/>
        <v>HP_1!B36</v>
      </c>
    </row>
    <row r="119" spans="1:8" ht="30">
      <c r="A119" s="282" t="str">
        <f>HP_1!$AD$1&amp;": temp1"</f>
        <v>Test temps: temp1</v>
      </c>
      <c r="B119" s="581" t="str">
        <f>HP_1!$AD2</f>
        <v>Low Temperature</v>
      </c>
      <c r="C119" s="279" t="str" cm="1">
        <f t="array" aca="1" ref="C119" ca="1">INDIRECT($F119&amp;C$90&amp;"!"&amp;$G119)</f>
        <v>Low Temperature</v>
      </c>
      <c r="D119" s="279" t="str" cm="1">
        <f t="array" aca="1" ref="D119" ca="1">INDIRECT($F119&amp;D$90&amp;"!"&amp;$G119)</f>
        <v>Low Temperature</v>
      </c>
      <c r="E119" s="295" t="str">
        <f t="shared" ca="1" si="35"/>
        <v>Low Temperature</v>
      </c>
      <c r="F119" s="280" t="str">
        <f t="shared" ca="1" si="36"/>
        <v>HP_</v>
      </c>
      <c r="G119" s="280" t="str">
        <f t="shared" ca="1" si="37"/>
        <v>$AD2</v>
      </c>
      <c r="H119" s="281" t="str">
        <f t="shared" ca="1" si="38"/>
        <v>HP_1!$AD2</v>
      </c>
    </row>
    <row r="120" spans="1:8" ht="30">
      <c r="A120" s="282" t="str">
        <f>HP_1!$AD$1&amp;": temp2"</f>
        <v>Test temps: temp2</v>
      </c>
      <c r="B120" s="581" t="str">
        <f>HP_1!$AD3</f>
        <v>Medium Temperature</v>
      </c>
      <c r="C120" s="279" t="str" cm="1">
        <f t="array" aca="1" ref="C120" ca="1">INDIRECT($F120&amp;C$90&amp;"!"&amp;$G120)</f>
        <v>Medium Temperature</v>
      </c>
      <c r="D120" s="279" t="str" cm="1">
        <f t="array" aca="1" ref="D120" ca="1">INDIRECT($F120&amp;D$90&amp;"!"&amp;$G120)</f>
        <v>Medium Temperature</v>
      </c>
      <c r="E120" s="295" t="str">
        <f t="shared" ca="1" si="35"/>
        <v>Medium Temperature</v>
      </c>
      <c r="F120" s="280" t="str">
        <f t="shared" ca="1" si="36"/>
        <v>HP_</v>
      </c>
      <c r="G120" s="280" t="str">
        <f t="shared" ca="1" si="37"/>
        <v>$AD3</v>
      </c>
      <c r="H120" s="281" t="str">
        <f t="shared" ca="1" si="38"/>
        <v>HP_1!$AD3</v>
      </c>
    </row>
    <row r="121" spans="1:8" ht="30">
      <c r="A121" s="282" t="str">
        <f>HP_1!$AD$1&amp;": temp3"</f>
        <v>Test temps: temp3</v>
      </c>
      <c r="B121" s="581" t="str">
        <f>HP_1!$AD4</f>
        <v>High Temperature</v>
      </c>
      <c r="C121" s="279" t="str" cm="1">
        <f t="array" aca="1" ref="C121" ca="1">INDIRECT($F121&amp;C$90&amp;"!"&amp;$G121)</f>
        <v>High Temperature</v>
      </c>
      <c r="D121" s="279" t="str" cm="1">
        <f t="array" aca="1" ref="D121" ca="1">INDIRECT($F121&amp;D$90&amp;"!"&amp;$G121)</f>
        <v>High Temperature</v>
      </c>
      <c r="E121" s="295" t="str">
        <f t="shared" ca="1" si="35"/>
        <v>High Temperature</v>
      </c>
      <c r="F121" s="280" t="str">
        <f t="shared" ca="1" si="36"/>
        <v>HP_</v>
      </c>
      <c r="G121" s="280" t="str">
        <f t="shared" ca="1" si="37"/>
        <v>$AD4</v>
      </c>
      <c r="H121" s="281" t="str">
        <f t="shared" ca="1" si="38"/>
        <v>HP_1!$AD4</v>
      </c>
    </row>
    <row r="122" spans="1:8" ht="30">
      <c r="A122" s="282" t="str">
        <f>HP_1!$AD$1&amp;": temp4"</f>
        <v>Test temps: temp4</v>
      </c>
      <c r="B122" s="581" t="str">
        <f>HP_1!$AD5</f>
        <v>Very high Temperature</v>
      </c>
      <c r="C122" s="279" t="str" cm="1">
        <f t="array" aca="1" ref="C122" ca="1">INDIRECT($F122&amp;C$90&amp;"!"&amp;$G122)</f>
        <v>Very high Temperature</v>
      </c>
      <c r="D122" s="279" t="str" cm="1">
        <f t="array" aca="1" ref="D122" ca="1">INDIRECT($F122&amp;D$90&amp;"!"&amp;$G122)</f>
        <v>Very high Temperature</v>
      </c>
      <c r="E122" s="295" t="str">
        <f t="shared" ca="1" si="35"/>
        <v>Very high Temperature</v>
      </c>
      <c r="F122" s="280" t="str">
        <f t="shared" ca="1" si="36"/>
        <v>HP_</v>
      </c>
      <c r="G122" s="280" t="str">
        <f t="shared" ca="1" si="37"/>
        <v>$AD5</v>
      </c>
      <c r="H122" s="281" t="str">
        <f t="shared" ca="1" si="38"/>
        <v>HP_1!$AD5</v>
      </c>
    </row>
    <row r="123" spans="1:8" ht="15.75">
      <c r="A123" s="282" t="str">
        <f>HP_1!$AE$1&amp;": temp1"</f>
        <v>For HP tab: temp1</v>
      </c>
      <c r="B123" s="581" t="str">
        <f>HP_1!$AE2</f>
        <v>Low</v>
      </c>
      <c r="C123" s="279" t="str" cm="1">
        <f t="array" aca="1" ref="C123" ca="1">INDIRECT($F123&amp;C$90&amp;"!"&amp;$G123)</f>
        <v>Low</v>
      </c>
      <c r="D123" s="279" t="str" cm="1">
        <f t="array" aca="1" ref="D123" ca="1">INDIRECT($F123&amp;D$90&amp;"!"&amp;$G123)</f>
        <v>Low</v>
      </c>
      <c r="E123" s="295" t="str">
        <f t="shared" ca="1" si="35"/>
        <v>Low</v>
      </c>
      <c r="F123" s="280" t="str">
        <f t="shared" ca="1" si="36"/>
        <v>HP_</v>
      </c>
      <c r="G123" s="280" t="str">
        <f t="shared" ca="1" si="37"/>
        <v>$AE2</v>
      </c>
      <c r="H123" s="281" t="str">
        <f t="shared" ca="1" si="38"/>
        <v>HP_1!$AE2</v>
      </c>
    </row>
    <row r="124" spans="1:8" ht="15.75">
      <c r="A124" s="282" t="str">
        <f>HP_1!$AE$1&amp;": temp2"</f>
        <v>For HP tab: temp2</v>
      </c>
      <c r="B124" s="581" t="str">
        <f>HP_1!$AE3</f>
        <v>Medium</v>
      </c>
      <c r="C124" s="279" t="str" cm="1">
        <f t="array" aca="1" ref="C124" ca="1">INDIRECT($F124&amp;C$90&amp;"!"&amp;$G124)</f>
        <v>Medium</v>
      </c>
      <c r="D124" s="279" t="str" cm="1">
        <f t="array" aca="1" ref="D124" ca="1">INDIRECT($F124&amp;D$90&amp;"!"&amp;$G124)</f>
        <v>Medium</v>
      </c>
      <c r="E124" s="295" t="str">
        <f t="shared" ca="1" si="35"/>
        <v>Medium</v>
      </c>
      <c r="F124" s="280" t="str">
        <f t="shared" ca="1" si="36"/>
        <v>HP_</v>
      </c>
      <c r="G124" s="280" t="str">
        <f t="shared" ca="1" si="37"/>
        <v>$AE3</v>
      </c>
      <c r="H124" s="281" t="str">
        <f t="shared" ca="1" si="38"/>
        <v>HP_1!$AE3</v>
      </c>
    </row>
    <row r="125" spans="1:8" ht="15.75">
      <c r="A125" s="282" t="str">
        <f>HP_1!$AE$1&amp;": temp3"</f>
        <v>For HP tab: temp3</v>
      </c>
      <c r="B125" s="581" t="str">
        <f>HP_1!$AE4</f>
        <v>High</v>
      </c>
      <c r="C125" s="279" t="str" cm="1">
        <f t="array" aca="1" ref="C125" ca="1">INDIRECT($F125&amp;C$90&amp;"!"&amp;$G125)</f>
        <v>High</v>
      </c>
      <c r="D125" s="279" t="str" cm="1">
        <f t="array" aca="1" ref="D125" ca="1">INDIRECT($F125&amp;D$90&amp;"!"&amp;$G125)</f>
        <v>High</v>
      </c>
      <c r="E125" s="295" t="str">
        <f t="shared" ca="1" si="35"/>
        <v>High</v>
      </c>
      <c r="F125" s="280" t="str">
        <f t="shared" ca="1" si="36"/>
        <v>HP_</v>
      </c>
      <c r="G125" s="280" t="str">
        <f t="shared" ca="1" si="37"/>
        <v>$AE4</v>
      </c>
      <c r="H125" s="281" t="str">
        <f t="shared" ca="1" si="38"/>
        <v>HP_1!$AE4</v>
      </c>
    </row>
    <row r="126" spans="1:8" ht="15.75">
      <c r="A126" s="282" t="str">
        <f>HP_1!$AE$1&amp;": temp4"</f>
        <v>For HP tab: temp4</v>
      </c>
      <c r="B126" s="581" t="str">
        <f>HP_1!$AE5</f>
        <v>Very high</v>
      </c>
      <c r="C126" s="279" t="str" cm="1">
        <f t="array" aca="1" ref="C126" ca="1">INDIRECT($F126&amp;C$90&amp;"!"&amp;$G126)</f>
        <v>Very high</v>
      </c>
      <c r="D126" s="279" t="str" cm="1">
        <f t="array" aca="1" ref="D126" ca="1">INDIRECT($F126&amp;D$90&amp;"!"&amp;$G126)</f>
        <v>Very high</v>
      </c>
      <c r="E126" s="295" t="str">
        <f t="shared" ca="1" si="35"/>
        <v>Very high</v>
      </c>
      <c r="F126" s="280" t="str">
        <f t="shared" ca="1" si="36"/>
        <v>HP_</v>
      </c>
      <c r="G126" s="280" t="str">
        <f t="shared" ca="1" si="37"/>
        <v>$AE5</v>
      </c>
      <c r="H126" s="281" t="str">
        <f t="shared" ca="1" si="38"/>
        <v>HP_1!$AE5</v>
      </c>
    </row>
    <row r="127" spans="1:8" ht="15.75">
      <c r="A127" s="282" t="str">
        <f>HP_1!B38</f>
        <v>High Temperature</v>
      </c>
      <c r="B127" s="583" t="str">
        <f>HP_1!C38</f>
        <v>Yes</v>
      </c>
      <c r="C127" s="279" t="str" cm="1">
        <f t="array" aca="1" ref="C127" ca="1">INDIRECT($F127&amp;C$90&amp;"!"&amp;$G127)</f>
        <v>Yes</v>
      </c>
      <c r="D127" s="279" t="str" cm="1">
        <f t="array" aca="1" ref="D127" ca="1">INDIRECT($F127&amp;D$90&amp;"!"&amp;$G127)</f>
        <v>Yes</v>
      </c>
      <c r="E127" s="298" t="str">
        <f t="shared" ca="1" si="35"/>
        <v>Yes</v>
      </c>
      <c r="F127" s="280" t="str">
        <f t="shared" ca="1" si="36"/>
        <v>HP_</v>
      </c>
      <c r="G127" s="280" t="str">
        <f t="shared" ca="1" si="37"/>
        <v>C38</v>
      </c>
      <c r="H127" s="281" t="str">
        <f t="shared" ca="1" si="38"/>
        <v>HP_1!C38</v>
      </c>
    </row>
    <row r="128" spans="1:8" ht="15.75">
      <c r="A128" s="282" t="str">
        <f>HP_1!B39</f>
        <v>Low Temperature</v>
      </c>
      <c r="B128" s="583" t="str">
        <f>HP_1!C39</f>
        <v>No</v>
      </c>
      <c r="C128" s="279" t="str" cm="1">
        <f t="array" aca="1" ref="C128" ca="1">INDIRECT($F128&amp;C$90&amp;"!"&amp;$G128)</f>
        <v>No</v>
      </c>
      <c r="D128" s="279" t="str" cm="1">
        <f t="array" aca="1" ref="D128" ca="1">INDIRECT($F128&amp;D$90&amp;"!"&amp;$G128)</f>
        <v>No</v>
      </c>
      <c r="E128" s="293" t="str">
        <f t="shared" ca="1" si="35"/>
        <v>No</v>
      </c>
      <c r="F128" s="280" t="str">
        <f t="shared" ca="1" si="36"/>
        <v>HP_</v>
      </c>
      <c r="G128" s="280" t="str">
        <f t="shared" ca="1" si="37"/>
        <v>C39</v>
      </c>
      <c r="H128" s="281" t="str">
        <f t="shared" ca="1" si="38"/>
        <v>HP_1!C39</v>
      </c>
    </row>
    <row r="129" spans="1:8" ht="15.75">
      <c r="A129" s="282" t="str">
        <f>HP_1!B40</f>
        <v>Medium Temperature</v>
      </c>
      <c r="B129" s="583" t="str">
        <f>HP_1!C40</f>
        <v>No</v>
      </c>
      <c r="C129" s="279" t="str" cm="1">
        <f t="array" aca="1" ref="C129" ca="1">INDIRECT($F129&amp;C$90&amp;"!"&amp;$G129)</f>
        <v>No</v>
      </c>
      <c r="D129" s="279" t="str" cm="1">
        <f t="array" aca="1" ref="D129" ca="1">INDIRECT($F129&amp;D$90&amp;"!"&amp;$G129)</f>
        <v>No</v>
      </c>
      <c r="E129" s="293" t="str">
        <f t="shared" ca="1" si="35"/>
        <v>No</v>
      </c>
      <c r="F129" s="280" t="str">
        <f t="shared" ca="1" si="36"/>
        <v>HP_</v>
      </c>
      <c r="G129" s="280" t="str">
        <f t="shared" ca="1" si="37"/>
        <v>C40</v>
      </c>
      <c r="H129" s="281" t="str">
        <f t="shared" ca="1" si="38"/>
        <v>HP_1!C40</v>
      </c>
    </row>
    <row r="130" spans="1:8" ht="15.75">
      <c r="A130" s="282" t="str">
        <f>HP_1!B41</f>
        <v>Very high Temperature</v>
      </c>
      <c r="B130" s="583" t="str">
        <f>HP_1!C41</f>
        <v>No</v>
      </c>
      <c r="C130" s="279" t="str" cm="1">
        <f t="array" aca="1" ref="C130" ca="1">INDIRECT($F130&amp;C$90&amp;"!"&amp;$G130)</f>
        <v>No</v>
      </c>
      <c r="D130" s="279" t="str" cm="1">
        <f t="array" aca="1" ref="D130" ca="1">INDIRECT($F130&amp;D$90&amp;"!"&amp;$G130)</f>
        <v>No</v>
      </c>
      <c r="E130" s="293" t="str">
        <f t="shared" ca="1" si="35"/>
        <v>No</v>
      </c>
      <c r="F130" s="280" t="str">
        <f t="shared" ca="1" si="36"/>
        <v>HP_</v>
      </c>
      <c r="G130" s="280" t="str">
        <f t="shared" ca="1" si="37"/>
        <v>C41</v>
      </c>
      <c r="H130" s="281" t="str">
        <f t="shared" ca="1" si="38"/>
        <v>HP_1!C41</v>
      </c>
    </row>
    <row r="131" spans="1:8" ht="31.5">
      <c r="A131" s="282" t="str">
        <f>HP_1!B42</f>
        <v>Maximum test temperature allowed for in tests to I.S. EN 14825</v>
      </c>
      <c r="B131" s="584">
        <f>HP_1!C42</f>
        <v>55</v>
      </c>
      <c r="C131" s="279" cm="1">
        <f t="array" aca="1" ref="C131" ca="1">INDIRECT($F131&amp;C$90&amp;"!"&amp;$G131)</f>
        <v>55</v>
      </c>
      <c r="D131" s="279" cm="1">
        <f t="array" aca="1" ref="D131" ca="1">INDIRECT($F131&amp;D$90&amp;"!"&amp;$G131)</f>
        <v>55</v>
      </c>
      <c r="E131" s="293">
        <f t="shared" ca="1" si="35"/>
        <v>55</v>
      </c>
      <c r="F131" s="280" t="str">
        <f t="shared" ca="1" si="36"/>
        <v>HP_</v>
      </c>
      <c r="G131" s="280" t="str">
        <f t="shared" ca="1" si="37"/>
        <v>C42</v>
      </c>
      <c r="H131" s="281" t="str">
        <f t="shared" ca="1" si="38"/>
        <v>HP_1!C42</v>
      </c>
    </row>
    <row r="132" spans="1:8" ht="45">
      <c r="A132" s="282" t="str">
        <f>HP_1!D10</f>
        <v xml:space="preserve">Is this a Low Temperature Heat Pump? </v>
      </c>
      <c r="B132" s="581" t="str">
        <f>HP_1!G10</f>
        <v>Not low temperature heat pump</v>
      </c>
      <c r="C132" s="279" t="str" cm="1">
        <f t="array" aca="1" ref="C132" ca="1">INDIRECT($F132&amp;C$90&amp;"!"&amp;$G132)</f>
        <v>Not low temperature heat pump</v>
      </c>
      <c r="D132" s="279" t="str" cm="1">
        <f t="array" aca="1" ref="D132" ca="1">INDIRECT($F132&amp;D$90&amp;"!"&amp;$G132)</f>
        <v>Not low temperature heat pump</v>
      </c>
      <c r="E132" s="295" t="str">
        <f t="shared" ca="1" si="35"/>
        <v>Not low temperature heat pump</v>
      </c>
      <c r="F132" s="280" t="str">
        <f t="shared" ca="1" si="36"/>
        <v>HP_</v>
      </c>
      <c r="G132" s="280" t="str">
        <f t="shared" ca="1" si="37"/>
        <v>G10</v>
      </c>
      <c r="H132" s="281" t="str">
        <f t="shared" ca="1" si="38"/>
        <v>HP_1!G10</v>
      </c>
    </row>
    <row r="133" spans="1:8" ht="15.75">
      <c r="A133" s="282" t="str">
        <f>HP_1!D11</f>
        <v xml:space="preserve">Is this heat pump electric or gas (GAHP)? </v>
      </c>
      <c r="B133" s="581" t="str">
        <f>HP_1!G11</f>
        <v>Electricity</v>
      </c>
      <c r="C133" s="279" t="str" cm="1">
        <f t="array" aca="1" ref="C133" ca="1">INDIRECT($F133&amp;C$90&amp;"!"&amp;$G133)</f>
        <v>Electricity</v>
      </c>
      <c r="D133" s="279" t="str" cm="1">
        <f t="array" aca="1" ref="D133" ca="1">INDIRECT($F133&amp;D$90&amp;"!"&amp;$G133)</f>
        <v>Electricity</v>
      </c>
      <c r="E133" s="295" t="str">
        <f t="shared" ca="1" si="35"/>
        <v>Electricity</v>
      </c>
      <c r="F133" s="280" t="str">
        <f t="shared" ca="1" si="36"/>
        <v>HP_</v>
      </c>
      <c r="G133" s="280" t="str">
        <f t="shared" ca="1" si="37"/>
        <v>G11</v>
      </c>
      <c r="H133" s="281" t="str">
        <f t="shared" ca="1" si="38"/>
        <v>HP_1!G11</v>
      </c>
    </row>
    <row r="134" spans="1:8" ht="60">
      <c r="A134" s="282" t="str">
        <f>HP_1!D12</f>
        <v>What is the status of this heat pump regarding Ecodesign data?</v>
      </c>
      <c r="B134" s="585" t="str">
        <f>HP_1!G12</f>
        <v>Ecodesign applies and/or ecodesign data available</v>
      </c>
      <c r="C134" s="279" t="str" cm="1">
        <f t="array" aca="1" ref="C134" ca="1">INDIRECT($F134&amp;C$90&amp;"!"&amp;$G134)</f>
        <v>Ecodesign applies and/or ecodesign data available</v>
      </c>
      <c r="D134" s="279" t="str" cm="1">
        <f t="array" aca="1" ref="D134" ca="1">INDIRECT($F134&amp;D$90&amp;"!"&amp;$G134)</f>
        <v>Ecodesign applies and/or ecodesign data available</v>
      </c>
      <c r="E134" s="295" t="str">
        <f t="shared" ca="1" si="35"/>
        <v>Ecodesign applies and/or ecodesign data available</v>
      </c>
      <c r="F134" s="280" t="str">
        <f t="shared" ca="1" si="36"/>
        <v>HP_</v>
      </c>
      <c r="G134" s="280" t="str">
        <f t="shared" ca="1" si="37"/>
        <v>G12</v>
      </c>
      <c r="H134" s="281" t="str">
        <f t="shared" ca="1" si="38"/>
        <v>HP_1!G12</v>
      </c>
    </row>
    <row r="135" spans="1:8" ht="15.75">
      <c r="A135" s="282" t="str">
        <f>HP_1!A69</f>
        <v>Output from Main Water Heater</v>
      </c>
      <c r="B135" s="278">
        <f>HP_1!B69</f>
        <v>0</v>
      </c>
      <c r="C135" s="279" cm="1">
        <f t="array" aca="1" ref="C135" ca="1">INDIRECT($F135&amp;C$90&amp;"!"&amp;$G135)</f>
        <v>0</v>
      </c>
      <c r="D135" s="279" cm="1">
        <f t="array" aca="1" ref="D135" ca="1">INDIRECT($F135&amp;D$90&amp;"!"&amp;$G135)</f>
        <v>0</v>
      </c>
      <c r="E135" s="294">
        <f t="shared" ca="1" si="35"/>
        <v>0</v>
      </c>
      <c r="F135" s="280" t="str">
        <f t="shared" ca="1" si="36"/>
        <v>HP_</v>
      </c>
      <c r="G135" s="280" t="str">
        <f t="shared" ca="1" si="37"/>
        <v>B69</v>
      </c>
      <c r="H135" s="281" t="str">
        <f t="shared" ca="1" si="38"/>
        <v>HP_1!B69</v>
      </c>
    </row>
    <row r="136" spans="1:8" ht="15.75">
      <c r="A136" s="289" t="str">
        <f>HP_1!G111</f>
        <v>Exhaust Air Flow Rate (m3/hr)</v>
      </c>
      <c r="B136" s="278">
        <f>HP_1!G112</f>
        <v>0</v>
      </c>
      <c r="C136" s="279" cm="1">
        <f t="array" aca="1" ref="C136" ca="1">INDIRECT($F136&amp;C$90&amp;"!"&amp;$G136)</f>
        <v>0</v>
      </c>
      <c r="D136" s="279" cm="1">
        <f t="array" aca="1" ref="D136" ca="1">INDIRECT($F136&amp;D$90&amp;"!"&amp;$G136)</f>
        <v>0</v>
      </c>
      <c r="E136" s="293">
        <f t="shared" ca="1" si="35"/>
        <v>0</v>
      </c>
      <c r="F136" s="280" t="str">
        <f t="shared" ca="1" si="36"/>
        <v>HP_</v>
      </c>
      <c r="G136" s="280" t="str">
        <f t="shared" ca="1" si="37"/>
        <v>G112</v>
      </c>
      <c r="H136" s="281" t="str">
        <f t="shared" ca="1" si="38"/>
        <v>HP_1!G112</v>
      </c>
    </row>
    <row r="137" spans="1:8" ht="15.75">
      <c r="A137" s="282" t="str">
        <f>"Cdh placeholder"&amp;A128</f>
        <v>Cdh placeholderLow Temperature</v>
      </c>
      <c r="B137" s="581" t="s">
        <v>585</v>
      </c>
      <c r="C137" s="279" t="e" cm="1">
        <f t="array" aca="1" ref="C137" ca="1">INDIRECT($F137&amp;C$90&amp;"!"&amp;$G137)</f>
        <v>#N/A</v>
      </c>
      <c r="D137" s="279" t="e" cm="1">
        <f t="array" aca="1" ref="D137" ca="1">INDIRECT($F137&amp;D$90&amp;"!"&amp;$G137)</f>
        <v>#N/A</v>
      </c>
      <c r="E137" s="293" t="e">
        <f t="shared" ca="1" si="35"/>
        <v>#N/A</v>
      </c>
      <c r="F137" s="280" t="e">
        <f t="shared" ca="1" si="36"/>
        <v>#N/A</v>
      </c>
      <c r="G137" s="280" t="e">
        <f t="shared" ca="1" si="37"/>
        <v>#N/A</v>
      </c>
      <c r="H137" s="281" t="e">
        <f t="shared" ca="1" si="38"/>
        <v>#N/A</v>
      </c>
    </row>
    <row r="138" spans="1:8" ht="15.75">
      <c r="A138" s="282" t="str">
        <f>"Cdh placeholder"&amp;A129</f>
        <v>Cdh placeholderMedium Temperature</v>
      </c>
      <c r="B138" s="581" t="s">
        <v>585</v>
      </c>
      <c r="C138" s="279" t="e" cm="1">
        <f t="array" aca="1" ref="C138" ca="1">INDIRECT($F138&amp;C$90&amp;"!"&amp;$G138)</f>
        <v>#N/A</v>
      </c>
      <c r="D138" s="279" t="e" cm="1">
        <f t="array" aca="1" ref="D138" ca="1">INDIRECT($F138&amp;D$90&amp;"!"&amp;$G138)</f>
        <v>#N/A</v>
      </c>
      <c r="E138" s="293" t="e">
        <f t="shared" ca="1" si="35"/>
        <v>#N/A</v>
      </c>
      <c r="F138" s="280" t="e">
        <f t="shared" ca="1" si="36"/>
        <v>#N/A</v>
      </c>
      <c r="G138" s="280" t="e">
        <f t="shared" ca="1" si="37"/>
        <v>#N/A</v>
      </c>
      <c r="H138" s="281" t="e">
        <f t="shared" ca="1" si="38"/>
        <v>#N/A</v>
      </c>
    </row>
    <row r="139" spans="1:8" ht="15.75">
      <c r="A139" s="282" t="str">
        <f>"Cdh placeholder"&amp;A127</f>
        <v>Cdh placeholderHigh Temperature</v>
      </c>
      <c r="B139" s="581" t="s">
        <v>585</v>
      </c>
      <c r="C139" s="279" t="e" cm="1">
        <f t="array" aca="1" ref="C139" ca="1">INDIRECT($F139&amp;C$90&amp;"!"&amp;$G139)</f>
        <v>#N/A</v>
      </c>
      <c r="D139" s="279" t="e" cm="1">
        <f t="array" aca="1" ref="D139" ca="1">INDIRECT($F139&amp;D$90&amp;"!"&amp;$G139)</f>
        <v>#N/A</v>
      </c>
      <c r="E139" s="293" t="e">
        <f t="shared" ca="1" si="35"/>
        <v>#N/A</v>
      </c>
      <c r="F139" s="280" t="e">
        <f t="shared" ca="1" si="36"/>
        <v>#N/A</v>
      </c>
      <c r="G139" s="280" t="e">
        <f t="shared" ca="1" si="37"/>
        <v>#N/A</v>
      </c>
      <c r="H139" s="281" t="e">
        <f t="shared" ca="1" si="38"/>
        <v>#N/A</v>
      </c>
    </row>
    <row r="140" spans="1:8" ht="15.75">
      <c r="A140" s="282" t="str">
        <f>"Cdh placeholder"&amp;A130</f>
        <v>Cdh placeholderVery high Temperature</v>
      </c>
      <c r="B140" s="581" t="s">
        <v>585</v>
      </c>
      <c r="C140" s="279" t="e" cm="1">
        <f t="array" aca="1" ref="C140" ca="1">INDIRECT($F140&amp;C$90&amp;"!"&amp;$G140)</f>
        <v>#N/A</v>
      </c>
      <c r="D140" s="279" t="e" cm="1">
        <f t="array" aca="1" ref="D140" ca="1">INDIRECT($F140&amp;D$90&amp;"!"&amp;$G140)</f>
        <v>#N/A</v>
      </c>
      <c r="E140" s="293" t="e">
        <f t="shared" ca="1" si="35"/>
        <v>#N/A</v>
      </c>
      <c r="F140" s="280" t="e">
        <f t="shared" ca="1" si="36"/>
        <v>#N/A</v>
      </c>
      <c r="G140" s="280" t="e">
        <f t="shared" ca="1" si="37"/>
        <v>#N/A</v>
      </c>
      <c r="H140" s="281" t="e">
        <f t="shared" ca="1" si="38"/>
        <v>#N/A</v>
      </c>
    </row>
    <row r="141" spans="1:8" ht="15.75">
      <c r="A141" s="282" t="s">
        <v>585</v>
      </c>
      <c r="B141" s="581" t="s">
        <v>585</v>
      </c>
      <c r="C141" s="279" t="e" cm="1">
        <f t="array" aca="1" ref="C141" ca="1">INDIRECT($F141&amp;C$90&amp;"!"&amp;$G141)</f>
        <v>#N/A</v>
      </c>
      <c r="D141" s="279" t="e" cm="1">
        <f t="array" aca="1" ref="D141" ca="1">INDIRECT($F141&amp;D$90&amp;"!"&amp;$G141)</f>
        <v>#N/A</v>
      </c>
      <c r="E141" s="293" t="e">
        <f t="shared" ca="1" si="35"/>
        <v>#N/A</v>
      </c>
      <c r="F141" s="280" t="e">
        <f t="shared" ca="1" si="36"/>
        <v>#N/A</v>
      </c>
      <c r="G141" s="280" t="e">
        <f t="shared" ca="1" si="37"/>
        <v>#N/A</v>
      </c>
      <c r="H141" s="281" t="e">
        <f t="shared" ca="1" si="38"/>
        <v>#N/A</v>
      </c>
    </row>
    <row r="142" spans="1:8" ht="15.75">
      <c r="A142" s="282" t="s">
        <v>585</v>
      </c>
      <c r="B142" s="581" t="s">
        <v>585</v>
      </c>
      <c r="C142" s="279" t="e" cm="1">
        <f t="array" aca="1" ref="C142" ca="1">INDIRECT($F142&amp;C$90&amp;"!"&amp;$G142)</f>
        <v>#N/A</v>
      </c>
      <c r="D142" s="279" t="e" cm="1">
        <f t="array" aca="1" ref="D142" ca="1">INDIRECT($F142&amp;D$90&amp;"!"&amp;$G142)</f>
        <v>#N/A</v>
      </c>
      <c r="E142" s="293" t="e">
        <f t="shared" ca="1" si="35"/>
        <v>#N/A</v>
      </c>
      <c r="F142" s="280" t="e">
        <f t="shared" ca="1" si="36"/>
        <v>#N/A</v>
      </c>
      <c r="G142" s="280" t="e">
        <f t="shared" ca="1" si="37"/>
        <v>#N/A</v>
      </c>
      <c r="H142" s="281" t="e">
        <f t="shared" ca="1" si="38"/>
        <v>#N/A</v>
      </c>
    </row>
    <row r="143" spans="1:8" ht="15.75">
      <c r="A143" s="282" t="s">
        <v>585</v>
      </c>
      <c r="B143" s="581" t="s">
        <v>585</v>
      </c>
      <c r="C143" s="279" t="e" cm="1">
        <f t="array" aca="1" ref="C143" ca="1">INDIRECT($F143&amp;C$90&amp;"!"&amp;$G143)</f>
        <v>#N/A</v>
      </c>
      <c r="D143" s="279" t="e" cm="1">
        <f t="array" aca="1" ref="D143" ca="1">INDIRECT($F143&amp;D$90&amp;"!"&amp;$G143)</f>
        <v>#N/A</v>
      </c>
      <c r="E143" s="293" t="e">
        <f t="shared" ca="1" si="35"/>
        <v>#N/A</v>
      </c>
      <c r="F143" s="280" t="e">
        <f t="shared" ca="1" si="36"/>
        <v>#N/A</v>
      </c>
      <c r="G143" s="280" t="e">
        <f t="shared" ca="1" si="37"/>
        <v>#N/A</v>
      </c>
      <c r="H143" s="281" t="e">
        <f t="shared" ca="1" si="38"/>
        <v>#N/A</v>
      </c>
    </row>
    <row r="144" spans="1:8" ht="15.75">
      <c r="A144" s="282" t="s">
        <v>585</v>
      </c>
      <c r="B144" s="581" t="s">
        <v>585</v>
      </c>
      <c r="C144" s="279" t="e" cm="1">
        <f t="array" aca="1" ref="C144" ca="1">INDIRECT($F144&amp;C$90&amp;"!"&amp;$G144)</f>
        <v>#N/A</v>
      </c>
      <c r="D144" s="279" t="e" cm="1">
        <f t="array" aca="1" ref="D144" ca="1">INDIRECT($F144&amp;D$90&amp;"!"&amp;$G144)</f>
        <v>#N/A</v>
      </c>
      <c r="E144" s="293" t="e">
        <f t="shared" ca="1" si="35"/>
        <v>#N/A</v>
      </c>
      <c r="F144" s="280" t="e">
        <f t="shared" ca="1" si="36"/>
        <v>#N/A</v>
      </c>
      <c r="G144" s="280" t="e">
        <f t="shared" ca="1" si="37"/>
        <v>#N/A</v>
      </c>
      <c r="H144" s="281" t="e">
        <f t="shared" ca="1" si="38"/>
        <v>#N/A</v>
      </c>
    </row>
    <row r="145" spans="1:37" ht="15.75">
      <c r="A145" s="282" t="s">
        <v>585</v>
      </c>
      <c r="B145" s="581" t="s">
        <v>585</v>
      </c>
      <c r="C145" s="279" t="e" cm="1">
        <f t="array" aca="1" ref="C145" ca="1">INDIRECT($F145&amp;C$90&amp;"!"&amp;$G145)</f>
        <v>#N/A</v>
      </c>
      <c r="D145" s="279" t="e" cm="1">
        <f t="array" aca="1" ref="D145" ca="1">INDIRECT($F145&amp;D$90&amp;"!"&amp;$G145)</f>
        <v>#N/A</v>
      </c>
      <c r="E145" s="293" t="e">
        <f t="shared" ca="1" si="35"/>
        <v>#N/A</v>
      </c>
      <c r="F145" s="280" t="e">
        <f t="shared" ca="1" si="36"/>
        <v>#N/A</v>
      </c>
      <c r="G145" s="280" t="e">
        <f t="shared" ca="1" si="37"/>
        <v>#N/A</v>
      </c>
      <c r="H145" s="281" t="e">
        <f t="shared" ca="1" si="38"/>
        <v>#N/A</v>
      </c>
    </row>
    <row r="146" spans="1:37" ht="15.75">
      <c r="A146" s="282" t="s">
        <v>585</v>
      </c>
      <c r="B146" s="581" t="s">
        <v>585</v>
      </c>
      <c r="C146" s="279" t="e" cm="1">
        <f t="array" aca="1" ref="C146" ca="1">INDIRECT($F146&amp;C$90&amp;"!"&amp;$G146)</f>
        <v>#N/A</v>
      </c>
      <c r="D146" s="279" t="e" cm="1">
        <f t="array" aca="1" ref="D146" ca="1">INDIRECT($F146&amp;D$90&amp;"!"&amp;$G146)</f>
        <v>#N/A</v>
      </c>
      <c r="E146" s="293" t="e">
        <f t="shared" ca="1" si="35"/>
        <v>#N/A</v>
      </c>
      <c r="F146" s="280" t="e">
        <f t="shared" ca="1" si="36"/>
        <v>#N/A</v>
      </c>
      <c r="G146" s="280" t="e">
        <f t="shared" ca="1" si="37"/>
        <v>#N/A</v>
      </c>
      <c r="H146" s="281" t="e">
        <f t="shared" ca="1" si="38"/>
        <v>#N/A</v>
      </c>
    </row>
    <row r="147" spans="1:37" ht="15.75">
      <c r="A147" s="282" t="s">
        <v>585</v>
      </c>
      <c r="B147" s="581" t="s">
        <v>585</v>
      </c>
      <c r="C147" s="279" t="e" cm="1">
        <f t="array" aca="1" ref="C147" ca="1">INDIRECT($F147&amp;C$90&amp;"!"&amp;$G147)</f>
        <v>#N/A</v>
      </c>
      <c r="D147" s="279" t="e" cm="1">
        <f t="array" aca="1" ref="D147" ca="1">INDIRECT($F147&amp;D$90&amp;"!"&amp;$G147)</f>
        <v>#N/A</v>
      </c>
      <c r="E147" s="293" t="e">
        <f t="shared" ca="1" si="35"/>
        <v>#N/A</v>
      </c>
      <c r="F147" s="280" t="e">
        <f t="shared" ca="1" si="36"/>
        <v>#N/A</v>
      </c>
      <c r="G147" s="280" t="e">
        <f t="shared" ca="1" si="37"/>
        <v>#N/A</v>
      </c>
      <c r="H147" s="281" t="e">
        <f t="shared" ca="1" si="38"/>
        <v>#N/A</v>
      </c>
    </row>
    <row r="148" spans="1:37" ht="15.75">
      <c r="A148" s="282" t="s">
        <v>585</v>
      </c>
      <c r="B148" s="581" t="s">
        <v>585</v>
      </c>
      <c r="C148" s="279" t="e" cm="1">
        <f t="array" aca="1" ref="C148" ca="1">INDIRECT($F148&amp;C$90&amp;"!"&amp;$G148)</f>
        <v>#N/A</v>
      </c>
      <c r="D148" s="279" t="e" cm="1">
        <f t="array" aca="1" ref="D148" ca="1">INDIRECT($F148&amp;D$90&amp;"!"&amp;$G148)</f>
        <v>#N/A</v>
      </c>
      <c r="E148" s="293" t="e">
        <f t="shared" ca="1" si="35"/>
        <v>#N/A</v>
      </c>
      <c r="F148" s="280" t="e">
        <f t="shared" ca="1" si="36"/>
        <v>#N/A</v>
      </c>
      <c r="G148" s="280" t="e">
        <f t="shared" ca="1" si="37"/>
        <v>#N/A</v>
      </c>
      <c r="H148" s="281" t="e">
        <f t="shared" ca="1" si="38"/>
        <v>#N/A</v>
      </c>
    </row>
    <row r="149" spans="1:37" ht="15.75">
      <c r="A149" s="282" t="s">
        <v>585</v>
      </c>
      <c r="B149" s="581" t="s">
        <v>585</v>
      </c>
      <c r="C149" s="279" t="e" cm="1">
        <f t="array" aca="1" ref="C149" ca="1">INDIRECT($F149&amp;C$90&amp;"!"&amp;$G149)</f>
        <v>#N/A</v>
      </c>
      <c r="D149" s="279" t="e" cm="1">
        <f t="array" aca="1" ref="D149" ca="1">INDIRECT($F149&amp;D$90&amp;"!"&amp;$G149)</f>
        <v>#N/A</v>
      </c>
      <c r="E149" s="293" t="e">
        <f t="shared" ca="1" si="35"/>
        <v>#N/A</v>
      </c>
      <c r="F149" s="280" t="e">
        <f t="shared" ca="1" si="36"/>
        <v>#N/A</v>
      </c>
      <c r="G149" s="280" t="e">
        <f t="shared" ca="1" si="37"/>
        <v>#N/A</v>
      </c>
      <c r="H149" s="281" t="e">
        <f t="shared" ca="1" si="38"/>
        <v>#N/A</v>
      </c>
    </row>
    <row r="150" spans="1:37" ht="16.5" thickBot="1">
      <c r="A150" s="290" t="s">
        <v>585</v>
      </c>
      <c r="B150" s="586" t="s">
        <v>585</v>
      </c>
      <c r="C150" s="587" t="e" cm="1">
        <f t="array" aca="1" ref="C150" ca="1">INDIRECT($F150&amp;C$90&amp;"!"&amp;$G150)</f>
        <v>#N/A</v>
      </c>
      <c r="D150" s="587" t="e" cm="1">
        <f t="array" aca="1" ref="D150" ca="1">INDIRECT($F150&amp;D$90&amp;"!"&amp;$G150)</f>
        <v>#N/A</v>
      </c>
      <c r="E150" s="299" t="e">
        <f t="shared" ca="1" si="35"/>
        <v>#N/A</v>
      </c>
      <c r="F150" s="588" t="e">
        <f t="shared" ca="1" si="36"/>
        <v>#N/A</v>
      </c>
      <c r="G150" s="588" t="e">
        <f t="shared" ca="1" si="37"/>
        <v>#N/A</v>
      </c>
      <c r="H150" s="589" t="e">
        <f t="shared" ca="1" si="38"/>
        <v>#N/A</v>
      </c>
    </row>
    <row r="151" spans="1:37" ht="15.75">
      <c r="A151" s="590"/>
      <c r="B151" s="591" t="s">
        <v>586</v>
      </c>
      <c r="C151" s="592" t="s">
        <v>434</v>
      </c>
      <c r="D151" s="593" t="s">
        <v>434</v>
      </c>
      <c r="E151" s="593" t="s">
        <v>434</v>
      </c>
      <c r="F151" s="593" t="s">
        <v>434</v>
      </c>
      <c r="G151" s="594" t="s">
        <v>434</v>
      </c>
      <c r="H151" s="592">
        <v>1</v>
      </c>
      <c r="I151" s="593">
        <v>1</v>
      </c>
      <c r="J151" s="593">
        <v>1</v>
      </c>
      <c r="K151" s="593">
        <v>1</v>
      </c>
      <c r="L151" s="594">
        <v>1</v>
      </c>
      <c r="M151" s="592">
        <f>H151+1</f>
        <v>2</v>
      </c>
      <c r="N151" s="593">
        <f t="shared" ref="N151:Q151" si="39">I151+1</f>
        <v>2</v>
      </c>
      <c r="O151" s="593">
        <f t="shared" si="39"/>
        <v>2</v>
      </c>
      <c r="P151" s="593">
        <f t="shared" si="39"/>
        <v>2</v>
      </c>
      <c r="Q151" s="594">
        <f t="shared" si="39"/>
        <v>2</v>
      </c>
      <c r="R151" s="592">
        <f>M151+1</f>
        <v>3</v>
      </c>
      <c r="S151" s="593">
        <f t="shared" ref="S151:V151" si="40">N151+1</f>
        <v>3</v>
      </c>
      <c r="T151" s="593">
        <f t="shared" si="40"/>
        <v>3</v>
      </c>
      <c r="U151" s="593">
        <f t="shared" si="40"/>
        <v>3</v>
      </c>
      <c r="V151" s="595">
        <f t="shared" si="40"/>
        <v>3</v>
      </c>
      <c r="W151" s="720" t="str">
        <f>H90</f>
        <v>Heat pump 1 source cell name as text</v>
      </c>
      <c r="X151" s="721"/>
      <c r="Y151" s="721"/>
      <c r="Z151" s="721"/>
      <c r="AA151" s="722"/>
      <c r="AB151" s="723" t="str">
        <f>F90</f>
        <v>Tab</v>
      </c>
      <c r="AC151" s="724"/>
      <c r="AD151" s="724"/>
      <c r="AE151" s="724"/>
      <c r="AF151" s="725"/>
      <c r="AG151" s="723" t="str">
        <f>G90</f>
        <v>Cell (everything to the right of the tab name)</v>
      </c>
      <c r="AH151" s="724"/>
      <c r="AI151" s="724"/>
      <c r="AJ151" s="724"/>
      <c r="AK151" s="726"/>
    </row>
    <row r="152" spans="1:37" ht="15.75">
      <c r="A152" s="596"/>
      <c r="B152" s="597" t="s">
        <v>587</v>
      </c>
      <c r="C152" s="598" t="s">
        <v>506</v>
      </c>
      <c r="D152" s="599" t="s">
        <v>507</v>
      </c>
      <c r="E152" s="599" t="s">
        <v>508</v>
      </c>
      <c r="F152" s="599" t="s">
        <v>509</v>
      </c>
      <c r="G152" s="600" t="s">
        <v>505</v>
      </c>
      <c r="H152" s="598" t="s">
        <v>506</v>
      </c>
      <c r="I152" s="599" t="s">
        <v>507</v>
      </c>
      <c r="J152" s="599" t="s">
        <v>508</v>
      </c>
      <c r="K152" s="599" t="s">
        <v>509</v>
      </c>
      <c r="L152" s="600" t="s">
        <v>505</v>
      </c>
      <c r="M152" s="598" t="s">
        <v>506</v>
      </c>
      <c r="N152" s="599" t="s">
        <v>507</v>
      </c>
      <c r="O152" s="599" t="s">
        <v>508</v>
      </c>
      <c r="P152" s="599" t="s">
        <v>509</v>
      </c>
      <c r="Q152" s="600" t="s">
        <v>505</v>
      </c>
      <c r="R152" s="598" t="s">
        <v>506</v>
      </c>
      <c r="S152" s="599" t="s">
        <v>507</v>
      </c>
      <c r="T152" s="599" t="s">
        <v>508</v>
      </c>
      <c r="U152" s="599" t="s">
        <v>509</v>
      </c>
      <c r="V152" s="601" t="s">
        <v>505</v>
      </c>
      <c r="W152" s="598" t="s">
        <v>506</v>
      </c>
      <c r="X152" s="599" t="s">
        <v>507</v>
      </c>
      <c r="Y152" s="599" t="s">
        <v>508</v>
      </c>
      <c r="Z152" s="599" t="s">
        <v>509</v>
      </c>
      <c r="AA152" s="601" t="s">
        <v>505</v>
      </c>
      <c r="AB152" s="598" t="s">
        <v>506</v>
      </c>
      <c r="AC152" s="599" t="s">
        <v>507</v>
      </c>
      <c r="AD152" s="599" t="s">
        <v>508</v>
      </c>
      <c r="AE152" s="599" t="s">
        <v>509</v>
      </c>
      <c r="AF152" s="601" t="s">
        <v>505</v>
      </c>
      <c r="AG152" s="598" t="s">
        <v>506</v>
      </c>
      <c r="AH152" s="599" t="s">
        <v>507</v>
      </c>
      <c r="AI152" s="599" t="s">
        <v>508</v>
      </c>
      <c r="AJ152" s="599" t="s">
        <v>509</v>
      </c>
      <c r="AK152" s="600" t="s">
        <v>505</v>
      </c>
    </row>
    <row r="153" spans="1:37" ht="16.5" thickBot="1">
      <c r="A153" s="602" t="s">
        <v>588</v>
      </c>
      <c r="B153" s="597" t="str">
        <f>B151&amp;B152&amp;"-&gt;"</f>
        <v>HP identifier:Bin-&gt;</v>
      </c>
      <c r="C153" s="603" t="str">
        <f>$K$1&amp;C152</f>
        <v>3A</v>
      </c>
      <c r="D153" s="604" t="str">
        <f>$K$1&amp;D152</f>
        <v>3B</v>
      </c>
      <c r="E153" s="604" t="str">
        <f>$K$1&amp;E152</f>
        <v>3C</v>
      </c>
      <c r="F153" s="604" t="str">
        <f>$K$1&amp;F152</f>
        <v>3D</v>
      </c>
      <c r="G153" s="605" t="str">
        <f>$K$1&amp;G152</f>
        <v>3E</v>
      </c>
      <c r="H153" s="603" t="str">
        <f t="shared" ref="H153:V153" si="41">H151&amp;H152</f>
        <v>1A</v>
      </c>
      <c r="I153" s="604" t="str">
        <f t="shared" si="41"/>
        <v>1B</v>
      </c>
      <c r="J153" s="604" t="str">
        <f t="shared" si="41"/>
        <v>1C</v>
      </c>
      <c r="K153" s="604" t="str">
        <f t="shared" si="41"/>
        <v>1D</v>
      </c>
      <c r="L153" s="605" t="str">
        <f t="shared" si="41"/>
        <v>1E</v>
      </c>
      <c r="M153" s="603" t="str">
        <f t="shared" si="41"/>
        <v>2A</v>
      </c>
      <c r="N153" s="604" t="str">
        <f t="shared" si="41"/>
        <v>2B</v>
      </c>
      <c r="O153" s="604" t="str">
        <f t="shared" si="41"/>
        <v>2C</v>
      </c>
      <c r="P153" s="604" t="str">
        <f t="shared" si="41"/>
        <v>2D</v>
      </c>
      <c r="Q153" s="605" t="str">
        <f t="shared" si="41"/>
        <v>2E</v>
      </c>
      <c r="R153" s="603" t="str">
        <f t="shared" si="41"/>
        <v>3A</v>
      </c>
      <c r="S153" s="604" t="str">
        <f t="shared" si="41"/>
        <v>3B</v>
      </c>
      <c r="T153" s="604" t="str">
        <f t="shared" si="41"/>
        <v>3C</v>
      </c>
      <c r="U153" s="604" t="str">
        <f t="shared" si="41"/>
        <v>3D</v>
      </c>
      <c r="V153" s="606" t="str">
        <f t="shared" si="41"/>
        <v>3E</v>
      </c>
      <c r="W153" s="603"/>
      <c r="X153" s="604"/>
      <c r="Y153" s="604"/>
      <c r="Z153" s="604"/>
      <c r="AA153" s="606"/>
      <c r="AB153" s="603"/>
      <c r="AC153" s="604"/>
      <c r="AD153" s="604"/>
      <c r="AE153" s="604"/>
      <c r="AF153" s="606"/>
      <c r="AG153" s="603"/>
      <c r="AH153" s="604"/>
      <c r="AI153" s="604"/>
      <c r="AJ153" s="604"/>
      <c r="AK153" s="605"/>
    </row>
    <row r="154" spans="1:37">
      <c r="A154" s="607" t="str">
        <f t="shared" ref="A154:A161" ca="1" si="42">A19</f>
        <v>Low Temperature COP  (kW/kW)</v>
      </c>
      <c r="B154" s="608">
        <f ca="1">IF(E128="Yes",1,0)</f>
        <v>0</v>
      </c>
      <c r="C154" s="609">
        <f ca="1">$B154*INDEX($H154:$V154,1,MATCH(C$153,$H$153:$V$153,0))</f>
        <v>0</v>
      </c>
      <c r="D154" s="610">
        <f t="shared" ref="D154:G161" ca="1" si="43">$B154*INDEX($H154:$V154,1,MATCH(D$153,$H$153:$V$153,0))</f>
        <v>0</v>
      </c>
      <c r="E154" s="610">
        <f t="shared" ca="1" si="43"/>
        <v>0</v>
      </c>
      <c r="F154" s="610">
        <f t="shared" ca="1" si="43"/>
        <v>0</v>
      </c>
      <c r="G154" s="611">
        <f t="shared" ca="1" si="43"/>
        <v>0</v>
      </c>
      <c r="H154" s="612">
        <f>HP_1!C47</f>
        <v>0</v>
      </c>
      <c r="I154" s="613">
        <f>HP_1!D47</f>
        <v>0</v>
      </c>
      <c r="J154" s="613">
        <f>HP_1!E47</f>
        <v>0</v>
      </c>
      <c r="K154" s="613">
        <f>HP_1!F47</f>
        <v>0</v>
      </c>
      <c r="L154" s="614">
        <f>HP_1!G47</f>
        <v>0</v>
      </c>
      <c r="M154" s="609" cm="1">
        <f t="array" aca="1" ref="M154" ca="1">INDIRECT(AB154&amp;M$151&amp;"!"&amp;AG154)</f>
        <v>0</v>
      </c>
      <c r="N154" s="610" cm="1">
        <f t="array" aca="1" ref="N154" ca="1">INDIRECT(AC154&amp;N$151&amp;"!"&amp;AH154)</f>
        <v>0</v>
      </c>
      <c r="O154" s="610" cm="1">
        <f t="array" aca="1" ref="O154" ca="1">INDIRECT(AD154&amp;O$151&amp;"!"&amp;AI154)</f>
        <v>0</v>
      </c>
      <c r="P154" s="610" cm="1">
        <f t="array" aca="1" ref="P154" ca="1">INDIRECT(AE154&amp;P$151&amp;"!"&amp;AJ154)</f>
        <v>0</v>
      </c>
      <c r="Q154" s="611" cm="1">
        <f t="array" aca="1" ref="Q154" ca="1">INDIRECT(AF154&amp;Q$151&amp;"!"&amp;AK154)</f>
        <v>0</v>
      </c>
      <c r="R154" s="609" cm="1">
        <f t="array" aca="1" ref="R154" ca="1">INDIRECT(AB154&amp;R$151&amp;"!"&amp;AG154)</f>
        <v>0</v>
      </c>
      <c r="S154" s="610" cm="1">
        <f t="array" aca="1" ref="S154" ca="1">INDIRECT(AC154&amp;S$151&amp;"!"&amp;AH154)</f>
        <v>0</v>
      </c>
      <c r="T154" s="610" cm="1">
        <f t="array" aca="1" ref="T154" ca="1">INDIRECT(AD154&amp;T$151&amp;"!"&amp;AI154)</f>
        <v>0</v>
      </c>
      <c r="U154" s="610" cm="1">
        <f t="array" aca="1" ref="U154" ca="1">INDIRECT(AE154&amp;U$151&amp;"!"&amp;AJ154)</f>
        <v>0</v>
      </c>
      <c r="V154" s="615" cm="1">
        <f t="array" aca="1" ref="V154" ca="1">INDIRECT(AF154&amp;V$151&amp;"!"&amp;AK154)</f>
        <v>0</v>
      </c>
      <c r="W154" s="616" t="str">
        <f ca="1">SUBSTITUTE( _xlfn.FORMULATEXT(H154),"=","")</f>
        <v>HP_1!C47</v>
      </c>
      <c r="X154" s="617" t="str">
        <f ca="1">SUBSTITUTE( _xlfn.FORMULATEXT(I154),"=","")</f>
        <v>HP_1!D47</v>
      </c>
      <c r="Y154" s="617" t="str">
        <f ca="1">SUBSTITUTE( _xlfn.FORMULATEXT(J154),"=","")</f>
        <v>HP_1!E47</v>
      </c>
      <c r="Z154" s="617" t="str">
        <f ca="1">SUBSTITUTE( _xlfn.FORMULATEXT(K154),"=","")</f>
        <v>HP_1!F47</v>
      </c>
      <c r="AA154" s="618" t="str">
        <f ca="1">SUBSTITUTE( _xlfn.FORMULATEXT(L154),"=","")</f>
        <v>HP_1!G47</v>
      </c>
      <c r="AB154" s="616" t="str">
        <f ca="1">LEFT(W154,FIND("1",W154)-1)</f>
        <v>HP_</v>
      </c>
      <c r="AC154" s="617" t="str">
        <f ca="1">LEFT(X154,FIND("1",X154)-1)</f>
        <v>HP_</v>
      </c>
      <c r="AD154" s="617" t="str">
        <f ca="1">LEFT(Y154,FIND("1",Y154)-1)</f>
        <v>HP_</v>
      </c>
      <c r="AE154" s="617" t="str">
        <f ca="1">LEFT(Z154,FIND("1",Z154)-1)</f>
        <v>HP_</v>
      </c>
      <c r="AF154" s="618" t="str">
        <f ca="1">LEFT(AA154,FIND("1",AA154)-1)</f>
        <v>HP_</v>
      </c>
      <c r="AG154" s="616" t="str">
        <f ca="1">RIGHT(W154,LEN(W154)-FIND("!",W154))</f>
        <v>C47</v>
      </c>
      <c r="AH154" s="617" t="str">
        <f ca="1">RIGHT(X154,LEN(X154)-FIND("!",X154))</f>
        <v>D47</v>
      </c>
      <c r="AI154" s="617" t="str">
        <f ca="1">RIGHT(Y154,LEN(Y154)-FIND("!",Y154))</f>
        <v>E47</v>
      </c>
      <c r="AJ154" s="617" t="str">
        <f ca="1">RIGHT(Z154,LEN(Z154)-FIND("!",Z154))</f>
        <v>F47</v>
      </c>
      <c r="AK154" s="619" t="str">
        <f ca="1">RIGHT(AA154,LEN(AA154)-FIND("!",AA154))</f>
        <v>G47</v>
      </c>
    </row>
    <row r="155" spans="1:37">
      <c r="A155" s="607" t="str">
        <f t="shared" ca="1" si="42"/>
        <v>Medium Temperature COP  (kW/kW)</v>
      </c>
      <c r="B155" s="608">
        <f ca="1">IF(E129="Yes",1,0)</f>
        <v>0</v>
      </c>
      <c r="C155" s="620">
        <f t="shared" ref="C155:C161" ca="1" si="44">$B155*INDEX($H155:$V155,1,MATCH(C$153,$H$153:$V$153,0))</f>
        <v>0</v>
      </c>
      <c r="D155" s="621">
        <f t="shared" ca="1" si="43"/>
        <v>0</v>
      </c>
      <c r="E155" s="621">
        <f t="shared" ca="1" si="43"/>
        <v>0</v>
      </c>
      <c r="F155" s="621">
        <f t="shared" ca="1" si="43"/>
        <v>0</v>
      </c>
      <c r="G155" s="622">
        <f t="shared" ca="1" si="43"/>
        <v>0</v>
      </c>
      <c r="H155" s="623">
        <f>HP_1!C51</f>
        <v>0</v>
      </c>
      <c r="I155" s="624">
        <f>HP_1!D51</f>
        <v>0</v>
      </c>
      <c r="J155" s="624">
        <f>HP_1!E51</f>
        <v>0</v>
      </c>
      <c r="K155" s="624">
        <f>HP_1!F51</f>
        <v>0</v>
      </c>
      <c r="L155" s="625">
        <f>HP_1!G51</f>
        <v>0</v>
      </c>
      <c r="M155" s="620" cm="1">
        <f t="array" aca="1" ref="M155" ca="1">INDIRECT(AB155&amp;M$151&amp;"!"&amp;AG155)</f>
        <v>0</v>
      </c>
      <c r="N155" s="621" cm="1">
        <f t="array" aca="1" ref="N155" ca="1">INDIRECT(AC155&amp;N$151&amp;"!"&amp;AH155)</f>
        <v>0</v>
      </c>
      <c r="O155" s="621" cm="1">
        <f t="array" aca="1" ref="O155" ca="1">INDIRECT(AD155&amp;O$151&amp;"!"&amp;AI155)</f>
        <v>0</v>
      </c>
      <c r="P155" s="621" cm="1">
        <f t="array" aca="1" ref="P155" ca="1">INDIRECT(AE155&amp;P$151&amp;"!"&amp;AJ155)</f>
        <v>0</v>
      </c>
      <c r="Q155" s="622" cm="1">
        <f t="array" aca="1" ref="Q155" ca="1">INDIRECT(AF155&amp;Q$151&amp;"!"&amp;AK155)</f>
        <v>0</v>
      </c>
      <c r="R155" s="620" cm="1">
        <f t="array" aca="1" ref="R155" ca="1">INDIRECT(AB155&amp;R$151&amp;"!"&amp;AG155)</f>
        <v>0</v>
      </c>
      <c r="S155" s="621" cm="1">
        <f t="array" aca="1" ref="S155" ca="1">INDIRECT(AC155&amp;S$151&amp;"!"&amp;AH155)</f>
        <v>0</v>
      </c>
      <c r="T155" s="621" cm="1">
        <f t="array" aca="1" ref="T155" ca="1">INDIRECT(AD155&amp;T$151&amp;"!"&amp;AI155)</f>
        <v>0</v>
      </c>
      <c r="U155" s="621" cm="1">
        <f t="array" aca="1" ref="U155" ca="1">INDIRECT(AE155&amp;U$151&amp;"!"&amp;AJ155)</f>
        <v>0</v>
      </c>
      <c r="V155" s="626" cm="1">
        <f t="array" aca="1" ref="V155" ca="1">INDIRECT(AF155&amp;V$151&amp;"!"&amp;AK155)</f>
        <v>0</v>
      </c>
      <c r="W155" s="627" t="str">
        <f t="shared" ref="W155:AA161" ca="1" si="45">SUBSTITUTE( _xlfn.FORMULATEXT(H155),"=","")</f>
        <v>HP_1!C51</v>
      </c>
      <c r="X155" s="628" t="str">
        <f t="shared" ca="1" si="45"/>
        <v>HP_1!D51</v>
      </c>
      <c r="Y155" s="628" t="str">
        <f t="shared" ca="1" si="45"/>
        <v>HP_1!E51</v>
      </c>
      <c r="Z155" s="628" t="str">
        <f t="shared" ca="1" si="45"/>
        <v>HP_1!F51</v>
      </c>
      <c r="AA155" s="629" t="str">
        <f t="shared" ca="1" si="45"/>
        <v>HP_1!G51</v>
      </c>
      <c r="AB155" s="627" t="str">
        <f t="shared" ref="AB155:AF161" ca="1" si="46">LEFT(W155,FIND("1",W155)-1)</f>
        <v>HP_</v>
      </c>
      <c r="AC155" s="628" t="str">
        <f t="shared" ca="1" si="46"/>
        <v>HP_</v>
      </c>
      <c r="AD155" s="628" t="str">
        <f t="shared" ca="1" si="46"/>
        <v>HP_</v>
      </c>
      <c r="AE155" s="628" t="str">
        <f t="shared" ca="1" si="46"/>
        <v>HP_</v>
      </c>
      <c r="AF155" s="629" t="str">
        <f t="shared" ca="1" si="46"/>
        <v>HP_</v>
      </c>
      <c r="AG155" s="627" t="str">
        <f t="shared" ref="AG155:AK161" ca="1" si="47">RIGHT(W155,LEN(W155)-FIND("!",W155))</f>
        <v>C51</v>
      </c>
      <c r="AH155" s="628" t="str">
        <f t="shared" ca="1" si="47"/>
        <v>D51</v>
      </c>
      <c r="AI155" s="628" t="str">
        <f t="shared" ca="1" si="47"/>
        <v>E51</v>
      </c>
      <c r="AJ155" s="628" t="str">
        <f t="shared" ca="1" si="47"/>
        <v>F51</v>
      </c>
      <c r="AK155" s="630" t="str">
        <f t="shared" ca="1" si="47"/>
        <v>G51</v>
      </c>
    </row>
    <row r="156" spans="1:37">
      <c r="A156" s="607" t="str">
        <f t="shared" ca="1" si="42"/>
        <v>High Temperature COP  (kW/kW)</v>
      </c>
      <c r="B156" s="608">
        <f ca="1">IF(E127="Yes",1,0)</f>
        <v>1</v>
      </c>
      <c r="C156" s="620">
        <f t="shared" ca="1" si="44"/>
        <v>0</v>
      </c>
      <c r="D156" s="621">
        <f t="shared" ca="1" si="43"/>
        <v>0</v>
      </c>
      <c r="E156" s="621">
        <f t="shared" ca="1" si="43"/>
        <v>0</v>
      </c>
      <c r="F156" s="621">
        <f t="shared" ca="1" si="43"/>
        <v>0</v>
      </c>
      <c r="G156" s="622">
        <f t="shared" ca="1" si="43"/>
        <v>0</v>
      </c>
      <c r="H156" s="623">
        <f>HP_1!C55</f>
        <v>0</v>
      </c>
      <c r="I156" s="624">
        <f>HP_1!D55</f>
        <v>0</v>
      </c>
      <c r="J156" s="624">
        <f>HP_1!E55</f>
        <v>0</v>
      </c>
      <c r="K156" s="624">
        <f>HP_1!F55</f>
        <v>0</v>
      </c>
      <c r="L156" s="625">
        <f>HP_1!G55</f>
        <v>0</v>
      </c>
      <c r="M156" s="620" cm="1">
        <f t="array" aca="1" ref="M156" ca="1">INDIRECT(AB156&amp;M$151&amp;"!"&amp;AG156)</f>
        <v>0</v>
      </c>
      <c r="N156" s="621" cm="1">
        <f t="array" aca="1" ref="N156" ca="1">INDIRECT(AC156&amp;N$151&amp;"!"&amp;AH156)</f>
        <v>0</v>
      </c>
      <c r="O156" s="621" cm="1">
        <f t="array" aca="1" ref="O156" ca="1">INDIRECT(AD156&amp;O$151&amp;"!"&amp;AI156)</f>
        <v>0</v>
      </c>
      <c r="P156" s="621" cm="1">
        <f t="array" aca="1" ref="P156" ca="1">INDIRECT(AE156&amp;P$151&amp;"!"&amp;AJ156)</f>
        <v>0</v>
      </c>
      <c r="Q156" s="622" cm="1">
        <f t="array" aca="1" ref="Q156" ca="1">INDIRECT(AF156&amp;Q$151&amp;"!"&amp;AK156)</f>
        <v>0</v>
      </c>
      <c r="R156" s="620" cm="1">
        <f t="array" aca="1" ref="R156" ca="1">INDIRECT(AB156&amp;R$151&amp;"!"&amp;AG156)</f>
        <v>0</v>
      </c>
      <c r="S156" s="621" cm="1">
        <f t="array" aca="1" ref="S156" ca="1">INDIRECT(AC156&amp;S$151&amp;"!"&amp;AH156)</f>
        <v>0</v>
      </c>
      <c r="T156" s="621" cm="1">
        <f t="array" aca="1" ref="T156" ca="1">INDIRECT(AD156&amp;T$151&amp;"!"&amp;AI156)</f>
        <v>0</v>
      </c>
      <c r="U156" s="621" cm="1">
        <f t="array" aca="1" ref="U156" ca="1">INDIRECT(AE156&amp;U$151&amp;"!"&amp;AJ156)</f>
        <v>0</v>
      </c>
      <c r="V156" s="626" cm="1">
        <f t="array" aca="1" ref="V156" ca="1">INDIRECT(AF156&amp;V$151&amp;"!"&amp;AK156)</f>
        <v>0</v>
      </c>
      <c r="W156" s="627" t="str">
        <f t="shared" ca="1" si="45"/>
        <v>HP_1!C55</v>
      </c>
      <c r="X156" s="628" t="str">
        <f t="shared" ca="1" si="45"/>
        <v>HP_1!D55</v>
      </c>
      <c r="Y156" s="628" t="str">
        <f t="shared" ca="1" si="45"/>
        <v>HP_1!E55</v>
      </c>
      <c r="Z156" s="628" t="str">
        <f t="shared" ca="1" si="45"/>
        <v>HP_1!F55</v>
      </c>
      <c r="AA156" s="629" t="str">
        <f t="shared" ca="1" si="45"/>
        <v>HP_1!G55</v>
      </c>
      <c r="AB156" s="627" t="str">
        <f t="shared" ca="1" si="46"/>
        <v>HP_</v>
      </c>
      <c r="AC156" s="628" t="str">
        <f t="shared" ca="1" si="46"/>
        <v>HP_</v>
      </c>
      <c r="AD156" s="628" t="str">
        <f t="shared" ca="1" si="46"/>
        <v>HP_</v>
      </c>
      <c r="AE156" s="628" t="str">
        <f t="shared" ca="1" si="46"/>
        <v>HP_</v>
      </c>
      <c r="AF156" s="629" t="str">
        <f t="shared" ca="1" si="46"/>
        <v>HP_</v>
      </c>
      <c r="AG156" s="627" t="str">
        <f t="shared" ca="1" si="47"/>
        <v>C55</v>
      </c>
      <c r="AH156" s="628" t="str">
        <f t="shared" ca="1" si="47"/>
        <v>D55</v>
      </c>
      <c r="AI156" s="628" t="str">
        <f t="shared" ca="1" si="47"/>
        <v>E55</v>
      </c>
      <c r="AJ156" s="628" t="str">
        <f t="shared" ca="1" si="47"/>
        <v>F55</v>
      </c>
      <c r="AK156" s="630" t="str">
        <f t="shared" ca="1" si="47"/>
        <v>G55</v>
      </c>
    </row>
    <row r="157" spans="1:37" ht="13.5" thickBot="1">
      <c r="A157" s="607" t="str">
        <f t="shared" ca="1" si="42"/>
        <v>Very high Temperature COP  (kW/kW)</v>
      </c>
      <c r="B157" s="608">
        <f ca="1">IF(E130="Yes",1,0)</f>
        <v>0</v>
      </c>
      <c r="C157" s="631">
        <f t="shared" ca="1" si="44"/>
        <v>0</v>
      </c>
      <c r="D157" s="632">
        <f t="shared" ca="1" si="43"/>
        <v>0</v>
      </c>
      <c r="E157" s="632">
        <f t="shared" ca="1" si="43"/>
        <v>0</v>
      </c>
      <c r="F157" s="632">
        <f t="shared" ca="1" si="43"/>
        <v>0</v>
      </c>
      <c r="G157" s="633">
        <f t="shared" ca="1" si="43"/>
        <v>0</v>
      </c>
      <c r="H157" s="634">
        <f>HP_1!C59</f>
        <v>0</v>
      </c>
      <c r="I157" s="635">
        <f>HP_1!D59</f>
        <v>0</v>
      </c>
      <c r="J157" s="635">
        <f>HP_1!E59</f>
        <v>0</v>
      </c>
      <c r="K157" s="635">
        <f>HP_1!F59</f>
        <v>0</v>
      </c>
      <c r="L157" s="636">
        <f>HP_1!G59</f>
        <v>0</v>
      </c>
      <c r="M157" s="631" cm="1">
        <f t="array" aca="1" ref="M157" ca="1">INDIRECT(AB157&amp;M$151&amp;"!"&amp;AG157)</f>
        <v>0</v>
      </c>
      <c r="N157" s="632" cm="1">
        <f t="array" aca="1" ref="N157" ca="1">INDIRECT(AC157&amp;N$151&amp;"!"&amp;AH157)</f>
        <v>0</v>
      </c>
      <c r="O157" s="632" cm="1">
        <f t="array" aca="1" ref="O157" ca="1">INDIRECT(AD157&amp;O$151&amp;"!"&amp;AI157)</f>
        <v>0</v>
      </c>
      <c r="P157" s="632" cm="1">
        <f t="array" aca="1" ref="P157" ca="1">INDIRECT(AE157&amp;P$151&amp;"!"&amp;AJ157)</f>
        <v>0</v>
      </c>
      <c r="Q157" s="633" cm="1">
        <f t="array" aca="1" ref="Q157" ca="1">INDIRECT(AF157&amp;Q$151&amp;"!"&amp;AK157)</f>
        <v>0</v>
      </c>
      <c r="R157" s="631" cm="1">
        <f t="array" aca="1" ref="R157" ca="1">INDIRECT(AB157&amp;R$151&amp;"!"&amp;AG157)</f>
        <v>0</v>
      </c>
      <c r="S157" s="632" cm="1">
        <f t="array" aca="1" ref="S157" ca="1">INDIRECT(AC157&amp;S$151&amp;"!"&amp;AH157)</f>
        <v>0</v>
      </c>
      <c r="T157" s="632" cm="1">
        <f t="array" aca="1" ref="T157" ca="1">INDIRECT(AD157&amp;T$151&amp;"!"&amp;AI157)</f>
        <v>0</v>
      </c>
      <c r="U157" s="632" cm="1">
        <f t="array" aca="1" ref="U157" ca="1">INDIRECT(AE157&amp;U$151&amp;"!"&amp;AJ157)</f>
        <v>0</v>
      </c>
      <c r="V157" s="637" cm="1">
        <f t="array" aca="1" ref="V157" ca="1">INDIRECT(AF157&amp;V$151&amp;"!"&amp;AK157)</f>
        <v>0</v>
      </c>
      <c r="W157" s="638" t="str">
        <f t="shared" ca="1" si="45"/>
        <v>HP_1!C59</v>
      </c>
      <c r="X157" s="639" t="str">
        <f t="shared" ca="1" si="45"/>
        <v>HP_1!D59</v>
      </c>
      <c r="Y157" s="639" t="str">
        <f t="shared" ca="1" si="45"/>
        <v>HP_1!E59</v>
      </c>
      <c r="Z157" s="639" t="str">
        <f t="shared" ca="1" si="45"/>
        <v>HP_1!F59</v>
      </c>
      <c r="AA157" s="640" t="str">
        <f t="shared" ca="1" si="45"/>
        <v>HP_1!G59</v>
      </c>
      <c r="AB157" s="638" t="str">
        <f t="shared" ca="1" si="46"/>
        <v>HP_</v>
      </c>
      <c r="AC157" s="639" t="str">
        <f t="shared" ca="1" si="46"/>
        <v>HP_</v>
      </c>
      <c r="AD157" s="639" t="str">
        <f t="shared" ca="1" si="46"/>
        <v>HP_</v>
      </c>
      <c r="AE157" s="639" t="str">
        <f t="shared" ca="1" si="46"/>
        <v>HP_</v>
      </c>
      <c r="AF157" s="640" t="str">
        <f t="shared" ca="1" si="46"/>
        <v>HP_</v>
      </c>
      <c r="AG157" s="638" t="str">
        <f t="shared" ca="1" si="47"/>
        <v>C59</v>
      </c>
      <c r="AH157" s="639" t="str">
        <f t="shared" ca="1" si="47"/>
        <v>D59</v>
      </c>
      <c r="AI157" s="639" t="str">
        <f t="shared" ca="1" si="47"/>
        <v>E59</v>
      </c>
      <c r="AJ157" s="639" t="str">
        <f t="shared" ca="1" si="47"/>
        <v>F59</v>
      </c>
      <c r="AK157" s="641" t="str">
        <f t="shared" ca="1" si="47"/>
        <v>G59</v>
      </c>
    </row>
    <row r="158" spans="1:37">
      <c r="A158" s="607" t="str">
        <f t="shared" ca="1" si="42"/>
        <v>Low Temperature Heating Capacity (kW)</v>
      </c>
      <c r="B158" s="608">
        <f ca="1">B154</f>
        <v>0</v>
      </c>
      <c r="C158" s="620">
        <f t="shared" ca="1" si="44"/>
        <v>0</v>
      </c>
      <c r="D158" s="621">
        <f t="shared" ca="1" si="43"/>
        <v>0</v>
      </c>
      <c r="E158" s="621">
        <f t="shared" ca="1" si="43"/>
        <v>0</v>
      </c>
      <c r="F158" s="621">
        <f t="shared" ca="1" si="43"/>
        <v>0</v>
      </c>
      <c r="G158" s="622">
        <f t="shared" ca="1" si="43"/>
        <v>0</v>
      </c>
      <c r="H158" s="623">
        <f>HP_1!C46</f>
        <v>0</v>
      </c>
      <c r="I158" s="624">
        <f>HP_1!D46</f>
        <v>0</v>
      </c>
      <c r="J158" s="624">
        <f>HP_1!E46</f>
        <v>0</v>
      </c>
      <c r="K158" s="624">
        <f>HP_1!F46</f>
        <v>0</v>
      </c>
      <c r="L158" s="625">
        <f>HP_1!G46</f>
        <v>0</v>
      </c>
      <c r="M158" s="620" cm="1">
        <f t="array" aca="1" ref="M158" ca="1">INDIRECT(AB158&amp;M$151&amp;"!"&amp;AG158)</f>
        <v>0</v>
      </c>
      <c r="N158" s="621" cm="1">
        <f t="array" aca="1" ref="N158" ca="1">INDIRECT(AC158&amp;N$151&amp;"!"&amp;AH158)</f>
        <v>0</v>
      </c>
      <c r="O158" s="621" cm="1">
        <f t="array" aca="1" ref="O158" ca="1">INDIRECT(AD158&amp;O$151&amp;"!"&amp;AI158)</f>
        <v>0</v>
      </c>
      <c r="P158" s="621" cm="1">
        <f t="array" aca="1" ref="P158" ca="1">INDIRECT(AE158&amp;P$151&amp;"!"&amp;AJ158)</f>
        <v>0</v>
      </c>
      <c r="Q158" s="622" cm="1">
        <f t="array" aca="1" ref="Q158" ca="1">INDIRECT(AF158&amp;Q$151&amp;"!"&amp;AK158)</f>
        <v>0</v>
      </c>
      <c r="R158" s="620" cm="1">
        <f t="array" aca="1" ref="R158" ca="1">INDIRECT(AB158&amp;R$151&amp;"!"&amp;AG158)</f>
        <v>0</v>
      </c>
      <c r="S158" s="621" cm="1">
        <f t="array" aca="1" ref="S158" ca="1">INDIRECT(AC158&amp;S$151&amp;"!"&amp;AH158)</f>
        <v>0</v>
      </c>
      <c r="T158" s="621" cm="1">
        <f t="array" aca="1" ref="T158" ca="1">INDIRECT(AD158&amp;T$151&amp;"!"&amp;AI158)</f>
        <v>0</v>
      </c>
      <c r="U158" s="621" cm="1">
        <f t="array" aca="1" ref="U158" ca="1">INDIRECT(AE158&amp;U$151&amp;"!"&amp;AJ158)</f>
        <v>0</v>
      </c>
      <c r="V158" s="626" cm="1">
        <f t="array" aca="1" ref="V158" ca="1">INDIRECT(AF158&amp;V$151&amp;"!"&amp;AK158)</f>
        <v>0</v>
      </c>
      <c r="W158" s="627" t="str">
        <f t="shared" ca="1" si="45"/>
        <v>HP_1!C46</v>
      </c>
      <c r="X158" s="628" t="str">
        <f t="shared" ca="1" si="45"/>
        <v>HP_1!D46</v>
      </c>
      <c r="Y158" s="628" t="str">
        <f t="shared" ca="1" si="45"/>
        <v>HP_1!E46</v>
      </c>
      <c r="Z158" s="628" t="str">
        <f t="shared" ca="1" si="45"/>
        <v>HP_1!F46</v>
      </c>
      <c r="AA158" s="629" t="str">
        <f t="shared" ca="1" si="45"/>
        <v>HP_1!G46</v>
      </c>
      <c r="AB158" s="627" t="str">
        <f t="shared" ca="1" si="46"/>
        <v>HP_</v>
      </c>
      <c r="AC158" s="628" t="str">
        <f t="shared" ca="1" si="46"/>
        <v>HP_</v>
      </c>
      <c r="AD158" s="628" t="str">
        <f t="shared" ca="1" si="46"/>
        <v>HP_</v>
      </c>
      <c r="AE158" s="628" t="str">
        <f t="shared" ca="1" si="46"/>
        <v>HP_</v>
      </c>
      <c r="AF158" s="629" t="str">
        <f t="shared" ca="1" si="46"/>
        <v>HP_</v>
      </c>
      <c r="AG158" s="627" t="str">
        <f t="shared" ca="1" si="47"/>
        <v>C46</v>
      </c>
      <c r="AH158" s="628" t="str">
        <f t="shared" ca="1" si="47"/>
        <v>D46</v>
      </c>
      <c r="AI158" s="628" t="str">
        <f t="shared" ca="1" si="47"/>
        <v>E46</v>
      </c>
      <c r="AJ158" s="628" t="str">
        <f t="shared" ca="1" si="47"/>
        <v>F46</v>
      </c>
      <c r="AK158" s="630" t="str">
        <f t="shared" ca="1" si="47"/>
        <v>G46</v>
      </c>
    </row>
    <row r="159" spans="1:37">
      <c r="A159" s="607" t="str">
        <f t="shared" ca="1" si="42"/>
        <v>Medium Temperature Heating Capacity (kW)</v>
      </c>
      <c r="B159" s="608">
        <f ca="1">B155</f>
        <v>0</v>
      </c>
      <c r="C159" s="620">
        <f t="shared" ca="1" si="44"/>
        <v>0</v>
      </c>
      <c r="D159" s="621">
        <f t="shared" ca="1" si="43"/>
        <v>0</v>
      </c>
      <c r="E159" s="621">
        <f t="shared" ca="1" si="43"/>
        <v>0</v>
      </c>
      <c r="F159" s="621">
        <f t="shared" ca="1" si="43"/>
        <v>0</v>
      </c>
      <c r="G159" s="622">
        <f t="shared" ca="1" si="43"/>
        <v>0</v>
      </c>
      <c r="H159" s="623">
        <f>HP_1!C50</f>
        <v>0</v>
      </c>
      <c r="I159" s="624">
        <f>HP_1!D50</f>
        <v>0</v>
      </c>
      <c r="J159" s="624">
        <f>HP_1!E50</f>
        <v>0</v>
      </c>
      <c r="K159" s="624">
        <f>HP_1!F50</f>
        <v>0</v>
      </c>
      <c r="L159" s="625">
        <f>HP_1!G50</f>
        <v>0</v>
      </c>
      <c r="M159" s="620" cm="1">
        <f t="array" aca="1" ref="M159" ca="1">INDIRECT(AB159&amp;M$151&amp;"!"&amp;AG159)</f>
        <v>0</v>
      </c>
      <c r="N159" s="621" cm="1">
        <f t="array" aca="1" ref="N159" ca="1">INDIRECT(AC159&amp;N$151&amp;"!"&amp;AH159)</f>
        <v>0</v>
      </c>
      <c r="O159" s="621" cm="1">
        <f t="array" aca="1" ref="O159" ca="1">INDIRECT(AD159&amp;O$151&amp;"!"&amp;AI159)</f>
        <v>0</v>
      </c>
      <c r="P159" s="621" cm="1">
        <f t="array" aca="1" ref="P159" ca="1">INDIRECT(AE159&amp;P$151&amp;"!"&amp;AJ159)</f>
        <v>0</v>
      </c>
      <c r="Q159" s="622" cm="1">
        <f t="array" aca="1" ref="Q159" ca="1">INDIRECT(AF159&amp;Q$151&amp;"!"&amp;AK159)</f>
        <v>0</v>
      </c>
      <c r="R159" s="620" cm="1">
        <f t="array" aca="1" ref="R159" ca="1">INDIRECT(AB159&amp;R$151&amp;"!"&amp;AG159)</f>
        <v>0</v>
      </c>
      <c r="S159" s="621" cm="1">
        <f t="array" aca="1" ref="S159" ca="1">INDIRECT(AC159&amp;S$151&amp;"!"&amp;AH159)</f>
        <v>0</v>
      </c>
      <c r="T159" s="621" cm="1">
        <f t="array" aca="1" ref="T159" ca="1">INDIRECT(AD159&amp;T$151&amp;"!"&amp;AI159)</f>
        <v>0</v>
      </c>
      <c r="U159" s="621" cm="1">
        <f t="array" aca="1" ref="U159" ca="1">INDIRECT(AE159&amp;U$151&amp;"!"&amp;AJ159)</f>
        <v>0</v>
      </c>
      <c r="V159" s="626" cm="1">
        <f t="array" aca="1" ref="V159" ca="1">INDIRECT(AF159&amp;V$151&amp;"!"&amp;AK159)</f>
        <v>0</v>
      </c>
      <c r="W159" s="627" t="str">
        <f t="shared" ca="1" si="45"/>
        <v>HP_1!C50</v>
      </c>
      <c r="X159" s="628" t="str">
        <f t="shared" ca="1" si="45"/>
        <v>HP_1!D50</v>
      </c>
      <c r="Y159" s="628" t="str">
        <f t="shared" ca="1" si="45"/>
        <v>HP_1!E50</v>
      </c>
      <c r="Z159" s="628" t="str">
        <f t="shared" ca="1" si="45"/>
        <v>HP_1!F50</v>
      </c>
      <c r="AA159" s="629" t="str">
        <f t="shared" ca="1" si="45"/>
        <v>HP_1!G50</v>
      </c>
      <c r="AB159" s="627" t="str">
        <f t="shared" ca="1" si="46"/>
        <v>HP_</v>
      </c>
      <c r="AC159" s="628" t="str">
        <f t="shared" ca="1" si="46"/>
        <v>HP_</v>
      </c>
      <c r="AD159" s="628" t="str">
        <f t="shared" ca="1" si="46"/>
        <v>HP_</v>
      </c>
      <c r="AE159" s="628" t="str">
        <f t="shared" ca="1" si="46"/>
        <v>HP_</v>
      </c>
      <c r="AF159" s="629" t="str">
        <f t="shared" ca="1" si="46"/>
        <v>HP_</v>
      </c>
      <c r="AG159" s="627" t="str">
        <f t="shared" ca="1" si="47"/>
        <v>C50</v>
      </c>
      <c r="AH159" s="628" t="str">
        <f t="shared" ca="1" si="47"/>
        <v>D50</v>
      </c>
      <c r="AI159" s="628" t="str">
        <f t="shared" ca="1" si="47"/>
        <v>E50</v>
      </c>
      <c r="AJ159" s="628" t="str">
        <f t="shared" ca="1" si="47"/>
        <v>F50</v>
      </c>
      <c r="AK159" s="630" t="str">
        <f t="shared" ca="1" si="47"/>
        <v>G50</v>
      </c>
    </row>
    <row r="160" spans="1:37">
      <c r="A160" s="607" t="str">
        <f t="shared" ca="1" si="42"/>
        <v>High Temperature Heating Capacity (kW)</v>
      </c>
      <c r="B160" s="608">
        <f ca="1">B156</f>
        <v>1</v>
      </c>
      <c r="C160" s="620">
        <f t="shared" ca="1" si="44"/>
        <v>0</v>
      </c>
      <c r="D160" s="621">
        <f t="shared" ca="1" si="43"/>
        <v>0</v>
      </c>
      <c r="E160" s="621">
        <f t="shared" ca="1" si="43"/>
        <v>0</v>
      </c>
      <c r="F160" s="621">
        <f t="shared" ca="1" si="43"/>
        <v>0</v>
      </c>
      <c r="G160" s="622">
        <f t="shared" ca="1" si="43"/>
        <v>0</v>
      </c>
      <c r="H160" s="623">
        <f>HP_1!C54</f>
        <v>0</v>
      </c>
      <c r="I160" s="624">
        <f>HP_1!D54</f>
        <v>0</v>
      </c>
      <c r="J160" s="624">
        <f>HP_1!E54</f>
        <v>0</v>
      </c>
      <c r="K160" s="624">
        <f>HP_1!F54</f>
        <v>0</v>
      </c>
      <c r="L160" s="625">
        <f>HP_1!G54</f>
        <v>0</v>
      </c>
      <c r="M160" s="620" cm="1">
        <f t="array" aca="1" ref="M160" ca="1">INDIRECT(AB160&amp;M$151&amp;"!"&amp;AG160)</f>
        <v>0</v>
      </c>
      <c r="N160" s="621" cm="1">
        <f t="array" aca="1" ref="N160" ca="1">INDIRECT(AC160&amp;N$151&amp;"!"&amp;AH160)</f>
        <v>0</v>
      </c>
      <c r="O160" s="621" cm="1">
        <f t="array" aca="1" ref="O160" ca="1">INDIRECT(AD160&amp;O$151&amp;"!"&amp;AI160)</f>
        <v>0</v>
      </c>
      <c r="P160" s="621" cm="1">
        <f t="array" aca="1" ref="P160" ca="1">INDIRECT(AE160&amp;P$151&amp;"!"&amp;AJ160)</f>
        <v>0</v>
      </c>
      <c r="Q160" s="622" cm="1">
        <f t="array" aca="1" ref="Q160" ca="1">INDIRECT(AF160&amp;Q$151&amp;"!"&amp;AK160)</f>
        <v>0</v>
      </c>
      <c r="R160" s="620" cm="1">
        <f t="array" aca="1" ref="R160" ca="1">INDIRECT(AB160&amp;R$151&amp;"!"&amp;AG160)</f>
        <v>0</v>
      </c>
      <c r="S160" s="621" cm="1">
        <f t="array" aca="1" ref="S160" ca="1">INDIRECT(AC160&amp;S$151&amp;"!"&amp;AH160)</f>
        <v>0</v>
      </c>
      <c r="T160" s="621" cm="1">
        <f t="array" aca="1" ref="T160" ca="1">INDIRECT(AD160&amp;T$151&amp;"!"&amp;AI160)</f>
        <v>0</v>
      </c>
      <c r="U160" s="621" cm="1">
        <f t="array" aca="1" ref="U160" ca="1">INDIRECT(AE160&amp;U$151&amp;"!"&amp;AJ160)</f>
        <v>0</v>
      </c>
      <c r="V160" s="626" cm="1">
        <f t="array" aca="1" ref="V160" ca="1">INDIRECT(AF160&amp;V$151&amp;"!"&amp;AK160)</f>
        <v>0</v>
      </c>
      <c r="W160" s="627" t="str">
        <f t="shared" ca="1" si="45"/>
        <v>HP_1!C54</v>
      </c>
      <c r="X160" s="628" t="str">
        <f t="shared" ca="1" si="45"/>
        <v>HP_1!D54</v>
      </c>
      <c r="Y160" s="628" t="str">
        <f t="shared" ca="1" si="45"/>
        <v>HP_1!E54</v>
      </c>
      <c r="Z160" s="628" t="str">
        <f t="shared" ca="1" si="45"/>
        <v>HP_1!F54</v>
      </c>
      <c r="AA160" s="629" t="str">
        <f t="shared" ca="1" si="45"/>
        <v>HP_1!G54</v>
      </c>
      <c r="AB160" s="627" t="str">
        <f t="shared" ca="1" si="46"/>
        <v>HP_</v>
      </c>
      <c r="AC160" s="628" t="str">
        <f t="shared" ca="1" si="46"/>
        <v>HP_</v>
      </c>
      <c r="AD160" s="628" t="str">
        <f t="shared" ca="1" si="46"/>
        <v>HP_</v>
      </c>
      <c r="AE160" s="628" t="str">
        <f t="shared" ca="1" si="46"/>
        <v>HP_</v>
      </c>
      <c r="AF160" s="629" t="str">
        <f t="shared" ca="1" si="46"/>
        <v>HP_</v>
      </c>
      <c r="AG160" s="627" t="str">
        <f t="shared" ca="1" si="47"/>
        <v>C54</v>
      </c>
      <c r="AH160" s="628" t="str">
        <f t="shared" ca="1" si="47"/>
        <v>D54</v>
      </c>
      <c r="AI160" s="628" t="str">
        <f t="shared" ca="1" si="47"/>
        <v>E54</v>
      </c>
      <c r="AJ160" s="628" t="str">
        <f t="shared" ca="1" si="47"/>
        <v>F54</v>
      </c>
      <c r="AK160" s="630" t="str">
        <f t="shared" ca="1" si="47"/>
        <v>G54</v>
      </c>
    </row>
    <row r="161" spans="1:37" ht="13.5" thickBot="1">
      <c r="A161" s="642" t="str">
        <f t="shared" ca="1" si="42"/>
        <v>Very high Temperature Heating Capacity (kW)</v>
      </c>
      <c r="B161" s="643">
        <f ca="1">B157</f>
        <v>0</v>
      </c>
      <c r="C161" s="631">
        <f t="shared" ca="1" si="44"/>
        <v>0</v>
      </c>
      <c r="D161" s="632">
        <f t="shared" ca="1" si="43"/>
        <v>0</v>
      </c>
      <c r="E161" s="632">
        <f t="shared" ca="1" si="43"/>
        <v>0</v>
      </c>
      <c r="F161" s="632">
        <f t="shared" ca="1" si="43"/>
        <v>0</v>
      </c>
      <c r="G161" s="633">
        <f t="shared" ca="1" si="43"/>
        <v>0</v>
      </c>
      <c r="H161" s="634">
        <f>HP_1!C58</f>
        <v>0</v>
      </c>
      <c r="I161" s="635">
        <f>HP_1!D58</f>
        <v>0</v>
      </c>
      <c r="J161" s="635">
        <f>HP_1!E58</f>
        <v>0</v>
      </c>
      <c r="K161" s="635">
        <f>HP_1!F58</f>
        <v>0</v>
      </c>
      <c r="L161" s="636">
        <f>HP_1!G58</f>
        <v>0</v>
      </c>
      <c r="M161" s="631" cm="1">
        <f t="array" aca="1" ref="M161" ca="1">INDIRECT(AB161&amp;M$151&amp;"!"&amp;AG161)</f>
        <v>0</v>
      </c>
      <c r="N161" s="632" cm="1">
        <f t="array" aca="1" ref="N161" ca="1">INDIRECT(AC161&amp;N$151&amp;"!"&amp;AH161)</f>
        <v>0</v>
      </c>
      <c r="O161" s="632" cm="1">
        <f t="array" aca="1" ref="O161" ca="1">INDIRECT(AD161&amp;O$151&amp;"!"&amp;AI161)</f>
        <v>0</v>
      </c>
      <c r="P161" s="632" cm="1">
        <f t="array" aca="1" ref="P161" ca="1">INDIRECT(AE161&amp;P$151&amp;"!"&amp;AJ161)</f>
        <v>0</v>
      </c>
      <c r="Q161" s="633" cm="1">
        <f t="array" aca="1" ref="Q161" ca="1">INDIRECT(AF161&amp;Q$151&amp;"!"&amp;AK161)</f>
        <v>0</v>
      </c>
      <c r="R161" s="631" cm="1">
        <f t="array" aca="1" ref="R161" ca="1">INDIRECT(AB161&amp;R$151&amp;"!"&amp;AG161)</f>
        <v>0</v>
      </c>
      <c r="S161" s="632" cm="1">
        <f t="array" aca="1" ref="S161" ca="1">INDIRECT(AC161&amp;S$151&amp;"!"&amp;AH161)</f>
        <v>0</v>
      </c>
      <c r="T161" s="632" cm="1">
        <f t="array" aca="1" ref="T161" ca="1">INDIRECT(AD161&amp;T$151&amp;"!"&amp;AI161)</f>
        <v>0</v>
      </c>
      <c r="U161" s="632" cm="1">
        <f t="array" aca="1" ref="U161" ca="1">INDIRECT(AE161&amp;U$151&amp;"!"&amp;AJ161)</f>
        <v>0</v>
      </c>
      <c r="V161" s="637" cm="1">
        <f t="array" aca="1" ref="V161" ca="1">INDIRECT(AF161&amp;V$151&amp;"!"&amp;AK161)</f>
        <v>0</v>
      </c>
      <c r="W161" s="638" t="str">
        <f t="shared" ca="1" si="45"/>
        <v>HP_1!C58</v>
      </c>
      <c r="X161" s="639" t="str">
        <f t="shared" ca="1" si="45"/>
        <v>HP_1!D58</v>
      </c>
      <c r="Y161" s="639" t="str">
        <f t="shared" ca="1" si="45"/>
        <v>HP_1!E58</v>
      </c>
      <c r="Z161" s="639" t="str">
        <f t="shared" ca="1" si="45"/>
        <v>HP_1!F58</v>
      </c>
      <c r="AA161" s="640" t="str">
        <f t="shared" ca="1" si="45"/>
        <v>HP_1!G58</v>
      </c>
      <c r="AB161" s="638" t="str">
        <f t="shared" ca="1" si="46"/>
        <v>HP_</v>
      </c>
      <c r="AC161" s="639" t="str">
        <f t="shared" ca="1" si="46"/>
        <v>HP_</v>
      </c>
      <c r="AD161" s="639" t="str">
        <f t="shared" ca="1" si="46"/>
        <v>HP_</v>
      </c>
      <c r="AE161" s="639" t="str">
        <f t="shared" ca="1" si="46"/>
        <v>HP_</v>
      </c>
      <c r="AF161" s="640" t="str">
        <f t="shared" ca="1" si="46"/>
        <v>HP_</v>
      </c>
      <c r="AG161" s="638" t="str">
        <f t="shared" ca="1" si="47"/>
        <v>C58</v>
      </c>
      <c r="AH161" s="639" t="str">
        <f t="shared" ca="1" si="47"/>
        <v>D58</v>
      </c>
      <c r="AI161" s="639" t="str">
        <f t="shared" ca="1" si="47"/>
        <v>E58</v>
      </c>
      <c r="AJ161" s="639" t="str">
        <f t="shared" ca="1" si="47"/>
        <v>F58</v>
      </c>
      <c r="AK161" s="641" t="str">
        <f t="shared" ca="1" si="47"/>
        <v>G58</v>
      </c>
    </row>
  </sheetData>
  <sheetProtection algorithmName="SHA-512" hashValue="uWMXQvvf5s+Y31QLIfNi8zRyW0/oAbxsWzYAvKXTSVS+5XJZKfHVA7JWHh5Bdl2shBHIaOt7L2xU4b8a3EO7KA==" saltValue="2/mktK75Z6K7jN1boQ/gsQ==" spinCount="100000" sheet="1" objects="1" scenarios="1"/>
  <autoFilter ref="A1:AD56" xr:uid="{00000000-0009-0000-0000-000013000000}"/>
  <mergeCells count="5">
    <mergeCell ref="AF3:AI3"/>
    <mergeCell ref="C40:H40"/>
    <mergeCell ref="W151:AA151"/>
    <mergeCell ref="AB151:AF151"/>
    <mergeCell ref="AG151:AK151"/>
  </mergeCells>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V185"/>
  <sheetViews>
    <sheetView topLeftCell="A3" workbookViewId="0">
      <selection activeCell="E38" sqref="E38"/>
    </sheetView>
  </sheetViews>
  <sheetFormatPr defaultColWidth="9.140625" defaultRowHeight="12.75"/>
  <cols>
    <col min="1" max="1" width="35.5703125" customWidth="1"/>
    <col min="2" max="2" width="29.5703125" customWidth="1"/>
    <col min="5" max="5" width="29.5703125" customWidth="1"/>
    <col min="10" max="10" width="16.140625" bestFit="1" customWidth="1"/>
    <col min="12" max="12" width="23" bestFit="1" customWidth="1"/>
    <col min="13" max="13" width="18.42578125" customWidth="1"/>
    <col min="16" max="16" width="13.5703125" customWidth="1"/>
    <col min="21" max="21" width="23.42578125" customWidth="1"/>
    <col min="22" max="22" width="17.42578125" customWidth="1"/>
  </cols>
  <sheetData>
    <row r="1" spans="1:22" ht="18.75" thickBot="1">
      <c r="A1" t="s">
        <v>23</v>
      </c>
      <c r="J1" s="258" t="s">
        <v>200</v>
      </c>
      <c r="K1" s="259">
        <v>1</v>
      </c>
      <c r="M1" s="32"/>
      <c r="N1" s="32"/>
      <c r="P1" t="s">
        <v>589</v>
      </c>
    </row>
    <row r="2" spans="1:22" ht="15.75">
      <c r="A2" s="1" t="s">
        <v>590</v>
      </c>
      <c r="M2" s="32"/>
      <c r="P2" t="s">
        <v>591</v>
      </c>
      <c r="Q2" t="s">
        <v>373</v>
      </c>
      <c r="S2" s="84" t="s">
        <v>592</v>
      </c>
      <c r="T2" s="84" t="s">
        <v>593</v>
      </c>
      <c r="U2" t="s">
        <v>594</v>
      </c>
      <c r="V2" t="s">
        <v>595</v>
      </c>
    </row>
    <row r="3" spans="1:22" ht="15.75">
      <c r="A3" t="s">
        <v>596</v>
      </c>
      <c r="B3" s="317">
        <f>E141</f>
        <v>0</v>
      </c>
      <c r="E3" t="s">
        <v>597</v>
      </c>
      <c r="M3" s="32"/>
      <c r="P3" t="s">
        <v>213</v>
      </c>
      <c r="Q3">
        <v>0.34499999999999997</v>
      </c>
      <c r="R3">
        <v>7</v>
      </c>
      <c r="S3" s="85" t="s">
        <v>23</v>
      </c>
      <c r="T3" s="85" t="s">
        <v>23</v>
      </c>
      <c r="U3" s="84">
        <f>IF(E94="Yes",0,IF($B$6=P3,IF($B$3&gt;R3,1,0),0))</f>
        <v>0</v>
      </c>
      <c r="V3" s="84">
        <f>IF(E94="Yes",0,IF($B$6=P3,IF(E127&gt;R3,1,0),0))</f>
        <v>0</v>
      </c>
    </row>
    <row r="4" spans="1:22" ht="15.75">
      <c r="A4" t="s">
        <v>598</v>
      </c>
      <c r="B4" s="317">
        <f>E126</f>
        <v>65</v>
      </c>
      <c r="C4" t="s">
        <v>599</v>
      </c>
      <c r="M4" s="32"/>
      <c r="P4" t="s">
        <v>226</v>
      </c>
      <c r="Q4">
        <v>2.1</v>
      </c>
      <c r="R4">
        <v>15</v>
      </c>
      <c r="S4" s="85" t="s">
        <v>23</v>
      </c>
      <c r="T4" s="85" t="s">
        <v>23</v>
      </c>
      <c r="U4" s="84">
        <f>IF(E94="Yes",0,IF($B$6=P4,IF($B$3&gt;R4,1,0),0))</f>
        <v>0</v>
      </c>
      <c r="V4" s="84">
        <f>IF(E94="Yes",0,IF($B$6=P4,IF(E127&gt;R4,1,0),0))</f>
        <v>0</v>
      </c>
    </row>
    <row r="5" spans="1:22">
      <c r="A5" t="s">
        <v>600</v>
      </c>
      <c r="B5" s="317">
        <f>E140</f>
        <v>0</v>
      </c>
      <c r="C5" t="s">
        <v>373</v>
      </c>
      <c r="E5" t="s">
        <v>597</v>
      </c>
      <c r="P5" t="s">
        <v>237</v>
      </c>
      <c r="Q5">
        <v>2.1</v>
      </c>
      <c r="R5">
        <v>15</v>
      </c>
      <c r="S5" s="85" t="s">
        <v>23</v>
      </c>
      <c r="T5" s="85" t="s">
        <v>23</v>
      </c>
      <c r="U5" s="84">
        <f>IF(E94="Yes",0,IF($B$6=P5,IF($B$3&gt;R5,1,0),0))</f>
        <v>0</v>
      </c>
      <c r="V5" s="84">
        <f>IF(E94="Yes",0,IF($B$6=P5,IF(E127&gt;R5,1,0),0))</f>
        <v>0</v>
      </c>
    </row>
    <row r="6" spans="1:22">
      <c r="A6" t="s">
        <v>371</v>
      </c>
      <c r="B6" s="319" t="str">
        <f>E139</f>
        <v>M</v>
      </c>
      <c r="P6" t="s">
        <v>247</v>
      </c>
      <c r="Q6">
        <v>2.1</v>
      </c>
      <c r="R6">
        <v>36</v>
      </c>
      <c r="S6" s="85" t="s">
        <v>23</v>
      </c>
      <c r="T6" s="85" t="s">
        <v>23</v>
      </c>
      <c r="U6" s="84">
        <f>IF(E94="Yes",0,IF($B$6=P6,IF($B$3&gt;R6,1,0),0))</f>
        <v>0</v>
      </c>
      <c r="V6" s="84">
        <f>IF(E94="Yes",0,IF($B$6=P6,IF(E127&gt;R6,1,0),0))</f>
        <v>0</v>
      </c>
    </row>
    <row r="7" spans="1:22">
      <c r="A7" t="s">
        <v>601</v>
      </c>
      <c r="B7">
        <f>VLOOKUP(B6,P3:R13,3,)</f>
        <v>65</v>
      </c>
      <c r="C7" t="s">
        <v>376</v>
      </c>
      <c r="E7" t="s">
        <v>23</v>
      </c>
      <c r="G7" s="86" t="s">
        <v>23</v>
      </c>
      <c r="M7" s="84"/>
      <c r="P7" t="s">
        <v>254</v>
      </c>
      <c r="Q7">
        <v>5.8449999999999998</v>
      </c>
      <c r="R7">
        <v>65</v>
      </c>
      <c r="S7" s="3" t="e">
        <f t="shared" ref="S7:S12" si="0">R7/(($E$136-10)/30)</f>
        <v>#VALUE!</v>
      </c>
      <c r="T7" s="3">
        <f t="shared" ref="T7:T12" si="1">R7/((60-10)/30)</f>
        <v>39</v>
      </c>
      <c r="U7" s="84">
        <f>IF(E94="Yes",0,IF($B$6=P7,IF($B$3&lt;S7,1,0),0))</f>
        <v>0</v>
      </c>
      <c r="V7" s="84">
        <f>IF(E94="Yes",0,IF($B$6=P7,IF(E127&lt;T7,1,0),0))</f>
        <v>0</v>
      </c>
    </row>
    <row r="8" spans="1:22">
      <c r="A8" t="s">
        <v>602</v>
      </c>
      <c r="B8">
        <f>VLOOKUP(B6,P3:Q13,2,)</f>
        <v>5.8449999999999998</v>
      </c>
      <c r="C8" t="s">
        <v>373</v>
      </c>
      <c r="E8" t="s">
        <v>603</v>
      </c>
      <c r="P8" t="s">
        <v>258</v>
      </c>
      <c r="Q8">
        <v>11.654999999999999</v>
      </c>
      <c r="R8">
        <v>130</v>
      </c>
      <c r="S8" s="3" t="e">
        <f t="shared" si="0"/>
        <v>#VALUE!</v>
      </c>
      <c r="T8" s="3">
        <f t="shared" si="1"/>
        <v>78</v>
      </c>
      <c r="U8" s="84">
        <f>IF(E94="Yes",0,IF($B$6=P8,IF($B$3&lt;S8,1,0),0))</f>
        <v>0</v>
      </c>
      <c r="V8" s="84">
        <f>IF(E94="Yes",0,IF($B$6=P8,IF(E127&lt;T8,1,0),0))</f>
        <v>0</v>
      </c>
    </row>
    <row r="9" spans="1:22">
      <c r="A9" s="84" t="str">
        <f>"COP based on "&amp;E122</f>
        <v>COP based on I.S. EN 16147</v>
      </c>
      <c r="B9" s="318">
        <f>E135</f>
        <v>0</v>
      </c>
      <c r="P9" t="s">
        <v>263</v>
      </c>
      <c r="Q9">
        <v>19.07</v>
      </c>
      <c r="R9">
        <v>210</v>
      </c>
      <c r="S9" s="3" t="e">
        <f t="shared" si="0"/>
        <v>#VALUE!</v>
      </c>
      <c r="T9" s="3">
        <f t="shared" si="1"/>
        <v>126</v>
      </c>
      <c r="U9" s="84">
        <f>IF(E94="Yes",0,IF($B$6=P9,IF($B$3&lt;S9,1,0),0))</f>
        <v>0</v>
      </c>
      <c r="V9" s="84">
        <f>IF(E94="Yes",0,IF($B$6=P9,IF(E127&lt;T9,1,0),0))</f>
        <v>0</v>
      </c>
    </row>
    <row r="10" spans="1:22">
      <c r="A10" t="s">
        <v>368</v>
      </c>
      <c r="B10" s="317">
        <f>E138</f>
        <v>0</v>
      </c>
      <c r="C10" t="s">
        <v>369</v>
      </c>
      <c r="P10" t="s">
        <v>269</v>
      </c>
      <c r="Q10">
        <v>24.53</v>
      </c>
      <c r="R10">
        <v>300</v>
      </c>
      <c r="S10" s="3" t="e">
        <f t="shared" si="0"/>
        <v>#VALUE!</v>
      </c>
      <c r="T10" s="3">
        <f t="shared" si="1"/>
        <v>180</v>
      </c>
      <c r="U10" s="84">
        <f>IF(E94="Yes",0,IF($B$6=P10,IF($B$3&lt;S10,1,0),0))</f>
        <v>0</v>
      </c>
      <c r="V10" s="84">
        <f>IF(E94="Yes",0,IF($B$6=P10,IF(E127&lt;T10,1,0),0))</f>
        <v>0</v>
      </c>
    </row>
    <row r="11" spans="1:22">
      <c r="A11" t="s">
        <v>23</v>
      </c>
      <c r="P11" t="s">
        <v>273</v>
      </c>
      <c r="Q11">
        <v>46.76</v>
      </c>
      <c r="R11">
        <v>520</v>
      </c>
      <c r="S11" s="3" t="e">
        <f t="shared" si="0"/>
        <v>#VALUE!</v>
      </c>
      <c r="T11" s="3">
        <f t="shared" si="1"/>
        <v>312</v>
      </c>
      <c r="U11" s="84">
        <f>IF(E94="Yes",0,IF($B$6=P11,IF($B$3&lt;S11,1,0),0))</f>
        <v>0</v>
      </c>
      <c r="V11" s="84">
        <f>IF(E94="Yes",0,IF($B$6=P11,IF(E127&lt;T11,1,0),0))</f>
        <v>0</v>
      </c>
    </row>
    <row r="12" spans="1:22">
      <c r="A12" t="s">
        <v>604</v>
      </c>
      <c r="B12" s="3">
        <f>IF(E122="I.S. EN 14825/14511",B9,B9*(1+B5/B8))</f>
        <v>0</v>
      </c>
      <c r="E12" s="84" t="s">
        <v>605</v>
      </c>
      <c r="P12" t="s">
        <v>277</v>
      </c>
      <c r="Q12">
        <v>93.52</v>
      </c>
      <c r="R12">
        <v>1040</v>
      </c>
      <c r="S12" s="3" t="e">
        <f t="shared" si="0"/>
        <v>#VALUE!</v>
      </c>
      <c r="T12" s="3">
        <f t="shared" si="1"/>
        <v>624</v>
      </c>
      <c r="U12" s="84">
        <f>IF(E94="Yes",0,IF($B$6=P12,IF($B$3&lt;S12,1,0),0))</f>
        <v>0</v>
      </c>
      <c r="V12" s="84">
        <f>IF(E94="Yes",0,IF($B$6=P12,IF(E127&lt;T12,1,0),0))</f>
        <v>0</v>
      </c>
    </row>
    <row r="13" spans="1:22">
      <c r="P13">
        <v>0</v>
      </c>
    </row>
    <row r="14" spans="1:22" ht="14.25">
      <c r="A14" t="s">
        <v>606</v>
      </c>
      <c r="B14" s="317" t="str">
        <f>E136</f>
        <v xml:space="preserve"> </v>
      </c>
      <c r="C14" s="84" t="s">
        <v>607</v>
      </c>
      <c r="U14">
        <f>IF($E$122="I.S. EN 14825/14511",0,SUM(U3:U13))</f>
        <v>0</v>
      </c>
      <c r="V14">
        <f>IF($E$122="I.S. EN 14825/14511",0,SUM(V3:V13))</f>
        <v>0</v>
      </c>
    </row>
    <row r="15" spans="1:22" ht="14.25">
      <c r="A15" t="s">
        <v>608</v>
      </c>
      <c r="B15" s="317">
        <f>IF(E122="I.S. EN 14825/14511",B14,E126)</f>
        <v>65</v>
      </c>
      <c r="C15" s="84" t="s">
        <v>607</v>
      </c>
    </row>
    <row r="16" spans="1:22" ht="14.25">
      <c r="A16" t="s">
        <v>609</v>
      </c>
      <c r="B16" s="317">
        <f>E125</f>
        <v>10</v>
      </c>
      <c r="C16" s="84" t="s">
        <v>607</v>
      </c>
      <c r="M16" s="84"/>
      <c r="P16" t="s">
        <v>23</v>
      </c>
      <c r="U16" s="84" t="s">
        <v>610</v>
      </c>
      <c r="V16" s="84" t="s">
        <v>611</v>
      </c>
    </row>
    <row r="17" spans="1:21" ht="25.5">
      <c r="A17" s="88" t="s">
        <v>612</v>
      </c>
      <c r="B17" s="3" t="e">
        <f>(B15-B14)/(B15-B16)</f>
        <v>#VALUE!</v>
      </c>
    </row>
    <row r="18" spans="1:21">
      <c r="U18" s="88" t="s">
        <v>23</v>
      </c>
    </row>
    <row r="19" spans="1:21">
      <c r="A19" t="s">
        <v>613</v>
      </c>
      <c r="B19" t="e">
        <f>IF(E94="No",E123,((E123*E97)/E96))</f>
        <v>#DIV/0!</v>
      </c>
      <c r="C19" t="s">
        <v>92</v>
      </c>
      <c r="I19" s="2"/>
    </row>
    <row r="20" spans="1:21">
      <c r="A20" t="s">
        <v>614</v>
      </c>
      <c r="B20" s="3" t="e">
        <f>B19/B10</f>
        <v>#DIV/0!</v>
      </c>
      <c r="C20" s="84" t="s">
        <v>313</v>
      </c>
      <c r="M20" s="84"/>
    </row>
    <row r="21" spans="1:21">
      <c r="A21" s="84" t="s">
        <v>615</v>
      </c>
      <c r="B21" s="3">
        <f>8760*((24-E112)/24)</f>
        <v>2920</v>
      </c>
      <c r="C21" s="84" t="s">
        <v>313</v>
      </c>
      <c r="E21" s="84" t="s">
        <v>616</v>
      </c>
      <c r="M21" s="84"/>
    </row>
    <row r="22" spans="1:21">
      <c r="A22" t="s">
        <v>617</v>
      </c>
      <c r="B22" s="3" t="e">
        <f>IF((B20-B21)&lt;0,0,(B20-B21))</f>
        <v>#DIV/0!</v>
      </c>
    </row>
    <row r="23" spans="1:21" ht="25.5">
      <c r="A23" s="88" t="s">
        <v>618</v>
      </c>
      <c r="B23" s="3" t="e">
        <f>(B22*B10)/B19</f>
        <v>#DIV/0!</v>
      </c>
      <c r="M23" s="84"/>
    </row>
    <row r="25" spans="1:21">
      <c r="A25" s="84" t="s">
        <v>619</v>
      </c>
      <c r="B25" s="2" t="e">
        <f>(B19*(1-B17-B23))/B12</f>
        <v>#DIV/0!</v>
      </c>
      <c r="C25" t="s">
        <v>92</v>
      </c>
      <c r="M25" s="84"/>
    </row>
    <row r="26" spans="1:21">
      <c r="A26" t="s">
        <v>620</v>
      </c>
      <c r="B26" s="2" t="e">
        <f>(B19*B17)/E132</f>
        <v>#DIV/0!</v>
      </c>
      <c r="C26" t="s">
        <v>92</v>
      </c>
      <c r="E26" s="84" t="s">
        <v>621</v>
      </c>
    </row>
    <row r="27" spans="1:21">
      <c r="A27" t="s">
        <v>622</v>
      </c>
      <c r="B27" s="2" t="e">
        <f>(B19*B23)/E132</f>
        <v>#DIV/0!</v>
      </c>
      <c r="C27" t="s">
        <v>92</v>
      </c>
      <c r="E27" s="84" t="s">
        <v>621</v>
      </c>
    </row>
    <row r="28" spans="1:21">
      <c r="A28" s="84" t="s">
        <v>623</v>
      </c>
      <c r="B28" s="2" t="e">
        <f>SUM(B25:B27)</f>
        <v>#DIV/0!</v>
      </c>
      <c r="C28" t="s">
        <v>92</v>
      </c>
    </row>
    <row r="30" spans="1:21">
      <c r="A30" s="84" t="s">
        <v>624</v>
      </c>
      <c r="B30" s="89" t="e">
        <f>B19/B28</f>
        <v>#DIV/0!</v>
      </c>
      <c r="M30" s="84"/>
    </row>
    <row r="31" spans="1:21">
      <c r="F31" s="2"/>
    </row>
    <row r="32" spans="1:21">
      <c r="A32" t="s">
        <v>576</v>
      </c>
      <c r="B32" s="97" t="e">
        <f>B34-B25</f>
        <v>#DIV/0!</v>
      </c>
      <c r="C32" t="s">
        <v>92</v>
      </c>
    </row>
    <row r="34" spans="1:14">
      <c r="A34" t="s">
        <v>625</v>
      </c>
      <c r="B34" s="87" t="e">
        <f>B19*(1-B17-B23)</f>
        <v>#DIV/0!</v>
      </c>
      <c r="C34" t="s">
        <v>92</v>
      </c>
    </row>
    <row r="36" spans="1:14">
      <c r="A36" s="84" t="s">
        <v>580</v>
      </c>
      <c r="B36" s="98">
        <f>IF(LEFT(E119,7)="Exhaust",(B10*(1-1/B9)-(E176*1.2/3600)*(20-7))/(B10*(1-1/B9)),1)</f>
        <v>1</v>
      </c>
    </row>
    <row r="37" spans="1:14">
      <c r="B37" s="85"/>
    </row>
    <row r="38" spans="1:14">
      <c r="A38" t="s">
        <v>579</v>
      </c>
      <c r="B38" s="90" t="e">
        <f>B32*B36</f>
        <v>#DIV/0!</v>
      </c>
      <c r="C38" t="s">
        <v>92</v>
      </c>
    </row>
    <row r="39" spans="1:14">
      <c r="B39" s="85"/>
      <c r="N39" s="84"/>
    </row>
    <row r="40" spans="1:14">
      <c r="D40" s="99"/>
      <c r="L40" s="92"/>
      <c r="N40" s="84"/>
    </row>
    <row r="42" spans="1:14">
      <c r="A42" s="1" t="s">
        <v>626</v>
      </c>
    </row>
    <row r="43" spans="1:14">
      <c r="A43" t="s">
        <v>613</v>
      </c>
      <c r="B43" t="e">
        <f>B19</f>
        <v>#DIV/0!</v>
      </c>
      <c r="C43" t="s">
        <v>92</v>
      </c>
    </row>
    <row r="44" spans="1:14">
      <c r="A44" t="s">
        <v>627</v>
      </c>
      <c r="B44" s="87">
        <f>E147</f>
        <v>3.2</v>
      </c>
    </row>
    <row r="45" spans="1:14">
      <c r="A45" t="s">
        <v>368</v>
      </c>
      <c r="B45" s="317">
        <f>E149</f>
        <v>7</v>
      </c>
      <c r="C45" t="s">
        <v>369</v>
      </c>
    </row>
    <row r="47" spans="1:14">
      <c r="A47" t="s">
        <v>606</v>
      </c>
      <c r="B47" s="317">
        <f>E148</f>
        <v>54</v>
      </c>
      <c r="C47" t="s">
        <v>599</v>
      </c>
    </row>
    <row r="48" spans="1:14">
      <c r="A48" t="s">
        <v>608</v>
      </c>
      <c r="B48" s="317">
        <f>E126</f>
        <v>65</v>
      </c>
      <c r="C48" t="s">
        <v>599</v>
      </c>
    </row>
    <row r="49" spans="1:14">
      <c r="A49" t="s">
        <v>609</v>
      </c>
      <c r="B49" s="317">
        <f>E125</f>
        <v>10</v>
      </c>
      <c r="C49" t="s">
        <v>599</v>
      </c>
    </row>
    <row r="51" spans="1:14">
      <c r="A51" t="s">
        <v>628</v>
      </c>
      <c r="B51" s="3">
        <f>IF((B48-B47)&lt;=0,0,(B48-B47)/(B48-B49))</f>
        <v>0.2</v>
      </c>
      <c r="E51" t="s">
        <v>629</v>
      </c>
      <c r="L51" s="92"/>
    </row>
    <row r="52" spans="1:14">
      <c r="L52" s="88"/>
      <c r="N52" s="84"/>
    </row>
    <row r="53" spans="1:14">
      <c r="A53" t="s">
        <v>630</v>
      </c>
      <c r="B53" s="2" t="e">
        <f>(B43*(1-B51))/B44</f>
        <v>#DIV/0!</v>
      </c>
      <c r="C53" t="s">
        <v>92</v>
      </c>
      <c r="N53" s="84"/>
    </row>
    <row r="54" spans="1:14">
      <c r="A54" t="s">
        <v>631</v>
      </c>
      <c r="B54" s="2" t="e">
        <f>(B43*B51)/E132</f>
        <v>#DIV/0!</v>
      </c>
      <c r="C54" t="s">
        <v>92</v>
      </c>
      <c r="G54" t="s">
        <v>23</v>
      </c>
      <c r="L54" s="92"/>
    </row>
    <row r="55" spans="1:14">
      <c r="A55" t="s">
        <v>632</v>
      </c>
      <c r="B55" s="2" t="e">
        <f>SUM(B53:B54)</f>
        <v>#DIV/0!</v>
      </c>
      <c r="C55" t="s">
        <v>92</v>
      </c>
    </row>
    <row r="57" spans="1:14">
      <c r="A57" s="84" t="s">
        <v>624</v>
      </c>
      <c r="B57" s="89" t="e">
        <f>B43/B55</f>
        <v>#DIV/0!</v>
      </c>
    </row>
    <row r="59" spans="1:14">
      <c r="A59" t="s">
        <v>576</v>
      </c>
      <c r="B59" s="90" t="e">
        <f>IF(B57&gt;2.5,(B57-2.5)*B55,0)</f>
        <v>#DIV/0!</v>
      </c>
      <c r="C59" t="s">
        <v>92</v>
      </c>
    </row>
    <row r="61" spans="1:14">
      <c r="A61" t="s">
        <v>625</v>
      </c>
      <c r="B61" s="87" t="e">
        <f>B43*(1-B51)</f>
        <v>#DIV/0!</v>
      </c>
      <c r="C61" t="s">
        <v>92</v>
      </c>
    </row>
    <row r="63" spans="1:14">
      <c r="A63" t="s">
        <v>633</v>
      </c>
      <c r="B63" s="91" t="e">
        <f>B61/B53</f>
        <v>#DIV/0!</v>
      </c>
    </row>
    <row r="64" spans="1:14">
      <c r="B64" s="85"/>
    </row>
    <row r="65" spans="1:14">
      <c r="A65" t="s">
        <v>579</v>
      </c>
      <c r="B65" s="90" t="e">
        <f>IF(B63&lt;2.5,0,(B63-2.5)*B53)</f>
        <v>#DIV/0!</v>
      </c>
      <c r="C65" t="s">
        <v>92</v>
      </c>
    </row>
    <row r="66" spans="1:14">
      <c r="B66" s="85"/>
    </row>
    <row r="67" spans="1:14">
      <c r="L67" s="92"/>
      <c r="N67" s="84"/>
    </row>
    <row r="70" spans="1:14">
      <c r="A70" s="1" t="s">
        <v>634</v>
      </c>
    </row>
    <row r="71" spans="1:14">
      <c r="A71" t="s">
        <v>613</v>
      </c>
      <c r="B71" t="e">
        <f>B19</f>
        <v>#DIV/0!</v>
      </c>
      <c r="C71" t="s">
        <v>92</v>
      </c>
    </row>
    <row r="72" spans="1:14">
      <c r="A72" t="s">
        <v>635</v>
      </c>
      <c r="B72" s="87">
        <f>E143</f>
        <v>3.33</v>
      </c>
    </row>
    <row r="73" spans="1:14">
      <c r="A73" t="s">
        <v>636</v>
      </c>
      <c r="B73" s="87">
        <f>IF(AND(E145="No",E146="Yes"),0.7,1)</f>
        <v>0.7</v>
      </c>
    </row>
    <row r="74" spans="1:14">
      <c r="A74" t="s">
        <v>23</v>
      </c>
      <c r="B74" t="s">
        <v>637</v>
      </c>
      <c r="C74" t="s">
        <v>23</v>
      </c>
    </row>
    <row r="75" spans="1:14">
      <c r="A75" s="84" t="s">
        <v>624</v>
      </c>
      <c r="B75" s="89">
        <f>IF(AND(E145="No",E146="Yes"),B72,(1/(50/(B72*100)+0.5)))</f>
        <v>3.33</v>
      </c>
      <c r="N75" s="84"/>
    </row>
    <row r="76" spans="1:14">
      <c r="A76" s="84"/>
      <c r="B76" s="3"/>
    </row>
    <row r="77" spans="1:14">
      <c r="A77" t="s">
        <v>632</v>
      </c>
      <c r="B77" s="3" t="e">
        <f>B71/B75</f>
        <v>#DIV/0!</v>
      </c>
      <c r="C77" t="s">
        <v>92</v>
      </c>
    </row>
    <row r="79" spans="1:14">
      <c r="A79" t="s">
        <v>576</v>
      </c>
      <c r="B79" s="90" t="e">
        <f>IF(B75&gt;2.5,(B75-2.5)*B77,0)</f>
        <v>#DIV/0!</v>
      </c>
      <c r="C79" t="s">
        <v>92</v>
      </c>
    </row>
    <row r="81" spans="1:14">
      <c r="A81" t="s">
        <v>625</v>
      </c>
      <c r="B81" s="87" t="e">
        <f>IF(B75=B72,B71,B71*0.5)</f>
        <v>#DIV/0!</v>
      </c>
      <c r="C81" t="s">
        <v>92</v>
      </c>
      <c r="E81" s="2"/>
    </row>
    <row r="83" spans="1:14">
      <c r="A83" t="s">
        <v>630</v>
      </c>
      <c r="B83" t="e">
        <f>B81/B72</f>
        <v>#DIV/0!</v>
      </c>
      <c r="C83" t="s">
        <v>92</v>
      </c>
    </row>
    <row r="85" spans="1:14">
      <c r="A85" t="s">
        <v>579</v>
      </c>
      <c r="B85" s="90" t="e">
        <f>IF(B72&lt;2.5,0,(B72-2.5)*B83)</f>
        <v>#DIV/0!</v>
      </c>
      <c r="C85" t="s">
        <v>92</v>
      </c>
      <c r="N85" s="84"/>
    </row>
    <row r="86" spans="1:14">
      <c r="B86" s="85"/>
    </row>
    <row r="87" spans="1:14">
      <c r="L87" s="92"/>
      <c r="N87" s="84"/>
    </row>
    <row r="89" spans="1:14" ht="24">
      <c r="A89" s="283" t="s">
        <v>429</v>
      </c>
      <c r="B89" s="300" t="s">
        <v>430</v>
      </c>
      <c r="C89" s="300" t="s">
        <v>431</v>
      </c>
      <c r="D89" s="300" t="s">
        <v>432</v>
      </c>
      <c r="E89" s="301"/>
      <c r="F89" s="301"/>
      <c r="G89" s="301"/>
      <c r="H89" s="301"/>
    </row>
    <row r="90" spans="1:14" ht="60">
      <c r="A90" s="302" t="s">
        <v>584</v>
      </c>
      <c r="B90" s="302" t="str">
        <f>RIGHT(B89)</f>
        <v>1</v>
      </c>
      <c r="C90" s="302" t="str">
        <f>RIGHT(C89)</f>
        <v>2</v>
      </c>
      <c r="D90" s="302" t="str">
        <f>RIGHT(D89)</f>
        <v>3</v>
      </c>
      <c r="E90" s="302" t="s">
        <v>434</v>
      </c>
      <c r="F90" s="303" t="s">
        <v>177</v>
      </c>
      <c r="G90" s="303" t="s">
        <v>178</v>
      </c>
      <c r="H90" s="303" t="s">
        <v>435</v>
      </c>
    </row>
    <row r="91" spans="1:14">
      <c r="A91" s="304" t="str">
        <f>HP_1!O12</f>
        <v>Same HP for Space and Water Heating</v>
      </c>
      <c r="B91" s="309" t="b">
        <f>HP_1!N12</f>
        <v>1</v>
      </c>
      <c r="C91" s="311" t="b" cm="1">
        <f t="array" aca="1" ref="C91" ca="1">INDIRECT($F91&amp;C$90&amp;"!"&amp;$G91)</f>
        <v>1</v>
      </c>
      <c r="D91" s="311" t="b" cm="1">
        <f t="array" aca="1" ref="D91" ca="1">INDIRECT($F91&amp;D$90&amp;"!"&amp;$G91)</f>
        <v>1</v>
      </c>
      <c r="E91" s="307" t="b">
        <f>VLOOKUP(A91,A91:D91,$K$1+1,FALSE)</f>
        <v>1</v>
      </c>
      <c r="F91" s="305" t="str">
        <f ca="1">LEFT(H91,FIND("1",H91)-1)</f>
        <v>HP_</v>
      </c>
      <c r="G91" s="305" t="str">
        <f ca="1">RIGHT(H91,LEN(H91)-FIND("!",H91))</f>
        <v>N12</v>
      </c>
      <c r="H91" s="305" t="str">
        <f ca="1">SUBSTITUTE( _xlfn.FORMULATEXT(B91),"=","")</f>
        <v>HP_1!N12</v>
      </c>
    </row>
    <row r="92" spans="1:14">
      <c r="A92" s="304" t="str">
        <f>HP_1!A3</f>
        <v>Total heat loss (W/K) taken from DEAP</v>
      </c>
      <c r="B92" s="312">
        <f>HP_1!B3</f>
        <v>0</v>
      </c>
      <c r="C92" s="311" cm="1">
        <f t="array" aca="1" ref="C92" ca="1">INDIRECT($F92&amp;C$90&amp;"!"&amp;$G92)</f>
        <v>0</v>
      </c>
      <c r="D92" s="311" cm="1">
        <f t="array" aca="1" ref="D92" ca="1">INDIRECT($F92&amp;D$90&amp;"!"&amp;$G92)</f>
        <v>0</v>
      </c>
      <c r="E92" s="306">
        <f>VLOOKUP(A92,A92:D92,$K$1+1,FALSE)</f>
        <v>0</v>
      </c>
      <c r="F92" s="305" t="str">
        <f ca="1">LEFT(H92,FIND("1",H92)-1)</f>
        <v>HP_</v>
      </c>
      <c r="G92" s="305" t="str">
        <f ca="1">RIGHT(H92,LEN(H92)-FIND("!",H92))</f>
        <v>B3</v>
      </c>
      <c r="H92" s="305" t="str">
        <f ca="1">SUBSTITUTE( _xlfn.FORMULATEXT(B92),"=","")</f>
        <v>HP_1!B3</v>
      </c>
    </row>
    <row r="93" spans="1:14" ht="48">
      <c r="A93" s="304" t="str">
        <f>HP_1!A4</f>
        <v>Heat Loss Watts</v>
      </c>
      <c r="B93" s="309" t="str">
        <f>HP_1!B4</f>
        <v>Please complete DEAPEntries tab</v>
      </c>
      <c r="C93" s="311" t="str" cm="1">
        <f t="array" aca="1" ref="C93" ca="1">INDIRECT($F93&amp;C$90&amp;"!"&amp;$G93)</f>
        <v>Please complete DEAPEntries tab</v>
      </c>
      <c r="D93" s="311" t="str" cm="1">
        <f t="array" aca="1" ref="D93" ca="1">INDIRECT($F93&amp;D$90&amp;"!"&amp;$G93)</f>
        <v>Please complete DEAPEntries tab</v>
      </c>
      <c r="E93" s="306" t="str">
        <f t="shared" ref="E93:E118" si="2">VLOOKUP(A93,A93:D93,$K$1+1,FALSE)</f>
        <v>Please complete DEAPEntries tab</v>
      </c>
      <c r="F93" s="305" t="str">
        <f t="shared" ref="F93:F118" ca="1" si="3">LEFT(H93,FIND("1",H93)-1)</f>
        <v>HP_</v>
      </c>
      <c r="G93" s="305" t="str">
        <f t="shared" ref="G93:G118" ca="1" si="4">RIGHT(H93,LEN(H93)-FIND("!",H93))</f>
        <v>B4</v>
      </c>
      <c r="H93" s="305" t="str">
        <f t="shared" ref="H93:H118" ca="1" si="5">SUBSTITUTE( _xlfn.FORMULATEXT(B93),"=","")</f>
        <v>HP_1!B4</v>
      </c>
    </row>
    <row r="94" spans="1:14" ht="24">
      <c r="A94" s="304" t="str">
        <f>HP_1!A5</f>
        <v>Is this Heat Pump part of a Group Heating Scheme</v>
      </c>
      <c r="B94" s="309" t="str">
        <f>HP_1!B5</f>
        <v>Yes</v>
      </c>
      <c r="C94" s="311" t="str" cm="1">
        <f t="array" aca="1" ref="C94" ca="1">INDIRECT($F94&amp;C$90&amp;"!"&amp;$G94)</f>
        <v>No</v>
      </c>
      <c r="D94" s="311" t="str" cm="1">
        <f t="array" aca="1" ref="D94" ca="1">INDIRECT($F94&amp;D$90&amp;"!"&amp;$G94)</f>
        <v>No</v>
      </c>
      <c r="E94" s="307" t="str">
        <f t="shared" si="2"/>
        <v>Yes</v>
      </c>
      <c r="F94" s="305" t="str">
        <f t="shared" ca="1" si="3"/>
        <v>HP_</v>
      </c>
      <c r="G94" s="305" t="str">
        <f t="shared" ca="1" si="4"/>
        <v>B5</v>
      </c>
      <c r="H94" s="305" t="str">
        <f t="shared" ca="1" si="5"/>
        <v>HP_1!B5</v>
      </c>
    </row>
    <row r="95" spans="1:14" ht="24">
      <c r="A95" s="304" t="str">
        <f>HP_1!A6</f>
        <v>Proportion of main space heating provided by this heat pump</v>
      </c>
      <c r="B95" s="309">
        <f>HP_1!B6</f>
        <v>1</v>
      </c>
      <c r="C95" s="311" cm="1">
        <f t="array" aca="1" ref="C95" ca="1">INDIRECT($F95&amp;C$90&amp;"!"&amp;$G95)</f>
        <v>0</v>
      </c>
      <c r="D95" s="311" cm="1">
        <f t="array" aca="1" ref="D95" ca="1">INDIRECT($F95&amp;D$90&amp;"!"&amp;$G95)</f>
        <v>0</v>
      </c>
      <c r="E95" s="308">
        <f t="shared" si="2"/>
        <v>1</v>
      </c>
      <c r="F95" s="305" t="str">
        <f t="shared" ca="1" si="3"/>
        <v>HP_</v>
      </c>
      <c r="G95" s="305" t="str">
        <f t="shared" ca="1" si="4"/>
        <v>B6</v>
      </c>
      <c r="H95" s="305" t="str">
        <f t="shared" ca="1" si="5"/>
        <v>HP_1!B6</v>
      </c>
    </row>
    <row r="96" spans="1:14">
      <c r="A96" s="304" t="str">
        <f>HP_1!A7</f>
        <v>Floor Area of Dwelling</v>
      </c>
      <c r="B96" s="309">
        <f>HP_1!B7</f>
        <v>0</v>
      </c>
      <c r="C96" s="311" cm="1">
        <f t="array" aca="1" ref="C96" ca="1">INDIRECT($F96&amp;C$90&amp;"!"&amp;$G96)</f>
        <v>0</v>
      </c>
      <c r="D96" s="311" cm="1">
        <f t="array" aca="1" ref="D96" ca="1">INDIRECT($F96&amp;D$90&amp;"!"&amp;$G96)</f>
        <v>0</v>
      </c>
      <c r="E96" s="307">
        <f t="shared" si="2"/>
        <v>0</v>
      </c>
      <c r="F96" s="305" t="str">
        <f t="shared" ca="1" si="3"/>
        <v>HP_</v>
      </c>
      <c r="G96" s="305" t="str">
        <f t="shared" ca="1" si="4"/>
        <v>B7</v>
      </c>
      <c r="H96" s="305" t="str">
        <f t="shared" ca="1" si="5"/>
        <v>HP_1!B7</v>
      </c>
    </row>
    <row r="97" spans="1:8" ht="36">
      <c r="A97" s="304" t="str">
        <f>HP_1!A8</f>
        <v>If Heat Pump serves a Group Heat Scheme, the total Floor Area served by Heat Pump is:</v>
      </c>
      <c r="B97" s="309">
        <f>HP_1!B8</f>
        <v>0</v>
      </c>
      <c r="C97" s="311" cm="1">
        <f t="array" aca="1" ref="C97" ca="1">INDIRECT($F97&amp;C$90&amp;"!"&amp;$G97)</f>
        <v>0</v>
      </c>
      <c r="D97" s="311" cm="1">
        <f t="array" aca="1" ref="D97" ca="1">INDIRECT($F97&amp;D$90&amp;"!"&amp;$G97)</f>
        <v>0</v>
      </c>
      <c r="E97" s="307">
        <f t="shared" si="2"/>
        <v>0</v>
      </c>
      <c r="F97" s="305" t="str">
        <f t="shared" ca="1" si="3"/>
        <v>HP_</v>
      </c>
      <c r="G97" s="305" t="str">
        <f t="shared" ca="1" si="4"/>
        <v>B8</v>
      </c>
      <c r="H97" s="305" t="str">
        <f t="shared" ca="1" si="5"/>
        <v>HP_1!B8</v>
      </c>
    </row>
    <row r="98" spans="1:8" ht="24">
      <c r="A98" s="304" t="str">
        <f>HP_1!A12</f>
        <v>Type of heat pump</v>
      </c>
      <c r="B98" s="309" t="str">
        <f>HP_1!B12</f>
        <v>Air to Water</v>
      </c>
      <c r="C98" s="311" t="str" cm="1">
        <f t="array" aca="1" ref="C98" ca="1">INDIRECT($F98&amp;C$90&amp;"!"&amp;$G98)</f>
        <v>Air to Water</v>
      </c>
      <c r="D98" s="311" t="str" cm="1">
        <f t="array" aca="1" ref="D98" ca="1">INDIRECT($F98&amp;D$90&amp;"!"&amp;$G98)</f>
        <v>Air to Water</v>
      </c>
      <c r="E98" s="307" t="str">
        <f t="shared" si="2"/>
        <v>Air to Water</v>
      </c>
      <c r="F98" s="305" t="str">
        <f t="shared" ca="1" si="3"/>
        <v>HP_</v>
      </c>
      <c r="G98" s="305" t="str">
        <f t="shared" ca="1" si="4"/>
        <v>B12</v>
      </c>
      <c r="H98" s="305" t="str">
        <f t="shared" ca="1" si="5"/>
        <v>HP_1!B12</v>
      </c>
    </row>
    <row r="99" spans="1:8" ht="36">
      <c r="A99" s="304" t="str">
        <f>HP_1!A13</f>
        <v>Temperature Control 
(refered to as Capacity Control in Ecodesign Standard Template)</v>
      </c>
      <c r="B99" s="309" t="str">
        <f>HP_1!B13</f>
        <v>Fixed Outlet</v>
      </c>
      <c r="C99" s="311" t="str" cm="1">
        <f t="array" aca="1" ref="C99" ca="1">INDIRECT($F99&amp;C$90&amp;"!"&amp;$G99)</f>
        <v>Fixed Outlet</v>
      </c>
      <c r="D99" s="311" t="str" cm="1">
        <f t="array" aca="1" ref="D99" ca="1">INDIRECT($F99&amp;D$90&amp;"!"&amp;$G99)</f>
        <v>Fixed Outlet</v>
      </c>
      <c r="E99" s="307" t="str">
        <f t="shared" si="2"/>
        <v>Fixed Outlet</v>
      </c>
      <c r="F99" s="305" t="str">
        <f t="shared" ca="1" si="3"/>
        <v>HP_</v>
      </c>
      <c r="G99" s="305" t="str">
        <f t="shared" ca="1" si="4"/>
        <v>B13</v>
      </c>
      <c r="H99" s="305" t="str">
        <f t="shared" ca="1" si="5"/>
        <v>HP_1!B13</v>
      </c>
    </row>
    <row r="100" spans="1:8" ht="24">
      <c r="A100" s="304" t="str">
        <f>HP_1!A14</f>
        <v>Space Heating Test Standard</v>
      </c>
      <c r="B100" s="312" t="str">
        <f>HP_1!B14</f>
        <v>I.S. EN 14825</v>
      </c>
      <c r="C100" s="311" t="str" cm="1">
        <f t="array" aca="1" ref="C100" ca="1">INDIRECT($F100&amp;C$90&amp;"!"&amp;$G100)</f>
        <v>I.S. EN 14825</v>
      </c>
      <c r="D100" s="311" t="str" cm="1">
        <f t="array" aca="1" ref="D100" ca="1">INDIRECT($F100&amp;D$90&amp;"!"&amp;$G100)</f>
        <v>I.S. EN 14825</v>
      </c>
      <c r="E100" s="307" t="str">
        <f t="shared" si="2"/>
        <v>I.S. EN 14825</v>
      </c>
      <c r="F100" s="305" t="str">
        <f t="shared" ca="1" si="3"/>
        <v>HP_</v>
      </c>
      <c r="G100" s="305" t="str">
        <f t="shared" ca="1" si="4"/>
        <v>B14</v>
      </c>
      <c r="H100" s="305" t="str">
        <f t="shared" ca="1" si="5"/>
        <v>HP_1!B14</v>
      </c>
    </row>
    <row r="101" spans="1:8">
      <c r="A101" s="304" t="str">
        <f>HP_1!A15</f>
        <v>Operation Limit Temperature (TOL)</v>
      </c>
      <c r="B101" s="313" t="str">
        <f>HP_1!B15</f>
        <v xml:space="preserve"> </v>
      </c>
      <c r="C101" s="311" cm="1">
        <f t="array" aca="1" ref="C101" ca="1">INDIRECT($F101&amp;C$90&amp;"!"&amp;$G101)</f>
        <v>0</v>
      </c>
      <c r="D101" s="311" cm="1">
        <f t="array" aca="1" ref="D101" ca="1">INDIRECT($F101&amp;D$90&amp;"!"&amp;$G101)</f>
        <v>0</v>
      </c>
      <c r="E101" s="307" t="str">
        <f t="shared" si="2"/>
        <v xml:space="preserve"> </v>
      </c>
      <c r="F101" s="305" t="str">
        <f t="shared" ca="1" si="3"/>
        <v>HP_</v>
      </c>
      <c r="G101" s="305" t="str">
        <f t="shared" ca="1" si="4"/>
        <v>B15</v>
      </c>
      <c r="H101" s="305" t="str">
        <f t="shared" ca="1" si="5"/>
        <v>HP_1!B15</v>
      </c>
    </row>
    <row r="102" spans="1:8" ht="24">
      <c r="A102" s="304" t="str">
        <f>HP_1!A16</f>
        <v>Heating water operating limit temperature (WTOL)</v>
      </c>
      <c r="B102" s="313" t="str">
        <f>HP_1!B16</f>
        <v xml:space="preserve"> </v>
      </c>
      <c r="C102" s="311" cm="1">
        <f t="array" aca="1" ref="C102" ca="1">INDIRECT($F102&amp;C$90&amp;"!"&amp;$G102)</f>
        <v>0</v>
      </c>
      <c r="D102" s="311" cm="1">
        <f t="array" aca="1" ref="D102" ca="1">INDIRECT($F102&amp;D$90&amp;"!"&amp;$G102)</f>
        <v>0</v>
      </c>
      <c r="E102" s="307" t="str">
        <f t="shared" si="2"/>
        <v xml:space="preserve"> </v>
      </c>
      <c r="F102" s="305" t="str">
        <f t="shared" ca="1" si="3"/>
        <v>HP_</v>
      </c>
      <c r="G102" s="305" t="str">
        <f t="shared" ca="1" si="4"/>
        <v>B16</v>
      </c>
      <c r="H102" s="305" t="str">
        <f t="shared" ca="1" si="5"/>
        <v>HP_1!B16</v>
      </c>
    </row>
    <row r="103" spans="1:8" ht="24">
      <c r="A103" s="304" t="str">
        <f>HP_1!A17</f>
        <v>Annual space heating provided by Heat Pump</v>
      </c>
      <c r="B103" s="312">
        <f>HP_1!B17</f>
        <v>0</v>
      </c>
      <c r="C103" s="311" cm="1">
        <f t="array" aca="1" ref="C103" ca="1">INDIRECT($F103&amp;C$90&amp;"!"&amp;$G103)</f>
        <v>0</v>
      </c>
      <c r="D103" s="311" cm="1">
        <f t="array" aca="1" ref="D103" ca="1">INDIRECT($F103&amp;D$90&amp;"!"&amp;$G103)</f>
        <v>0</v>
      </c>
      <c r="E103" s="306">
        <f t="shared" si="2"/>
        <v>0</v>
      </c>
      <c r="F103" s="305" t="str">
        <f t="shared" ca="1" si="3"/>
        <v>HP_</v>
      </c>
      <c r="G103" s="305" t="str">
        <f t="shared" ca="1" si="4"/>
        <v>B17</v>
      </c>
      <c r="H103" s="305" t="str">
        <f t="shared" ca="1" si="5"/>
        <v>HP_1!B17</v>
      </c>
    </row>
    <row r="104" spans="1:8">
      <c r="A104" s="304" t="str">
        <f>HP_1!A18</f>
        <v>Design Outdoor Temperature</v>
      </c>
      <c r="B104" s="309">
        <f>HP_1!B18</f>
        <v>-3</v>
      </c>
      <c r="C104" s="311" cm="1">
        <f t="array" aca="1" ref="C104" ca="1">INDIRECT($F104&amp;C$90&amp;"!"&amp;$G104)</f>
        <v>-3</v>
      </c>
      <c r="D104" s="311" cm="1">
        <f t="array" aca="1" ref="D104" ca="1">INDIRECT($F104&amp;D$90&amp;"!"&amp;$G104)</f>
        <v>-3</v>
      </c>
      <c r="E104" s="307">
        <f t="shared" si="2"/>
        <v>-3</v>
      </c>
      <c r="F104" s="305" t="str">
        <f t="shared" ca="1" si="3"/>
        <v>HP_</v>
      </c>
      <c r="G104" s="305" t="str">
        <f t="shared" ca="1" si="4"/>
        <v>B18</v>
      </c>
      <c r="H104" s="305" t="str">
        <f t="shared" ca="1" si="5"/>
        <v>HP_1!B18</v>
      </c>
    </row>
    <row r="105" spans="1:8" ht="60">
      <c r="A105" s="304" t="str">
        <f>HP_1!A19</f>
        <v>Indoor Design Temperature (Mean Internal Temperature)</v>
      </c>
      <c r="B105" s="314" t="str">
        <f>HP_1!B19</f>
        <v>Please complete DEAP Entries tab</v>
      </c>
      <c r="C105" s="311" t="str" cm="1">
        <f t="array" aca="1" ref="C105" ca="1">INDIRECT($F105&amp;C$90&amp;"!"&amp;$G105)</f>
        <v>Please complete DEAP Entries tab</v>
      </c>
      <c r="D105" s="311" t="str" cm="1">
        <f t="array" aca="1" ref="D105" ca="1">INDIRECT($F105&amp;D$90&amp;"!"&amp;$G105)</f>
        <v>Please complete DEAP Entries tab</v>
      </c>
      <c r="E105" s="307" t="str">
        <f t="shared" si="2"/>
        <v>Please complete DEAP Entries tab</v>
      </c>
      <c r="F105" s="305" t="str">
        <f t="shared" ca="1" si="3"/>
        <v>HP_</v>
      </c>
      <c r="G105" s="305" t="str">
        <f t="shared" ca="1" si="4"/>
        <v>B19</v>
      </c>
      <c r="H105" s="305" t="str">
        <f t="shared" ca="1" si="5"/>
        <v>HP_1!B19</v>
      </c>
    </row>
    <row r="106" spans="1:8">
      <c r="A106" s="304" t="str">
        <f>HP_1!A24</f>
        <v>Air used as Emitter (to Air Units)</v>
      </c>
      <c r="B106" s="309" t="str">
        <f>HP_1!B24</f>
        <v>No</v>
      </c>
      <c r="C106" s="311" t="str" cm="1">
        <f t="array" aca="1" ref="C106" ca="1">INDIRECT($F106&amp;C$90&amp;"!"&amp;$G106)</f>
        <v>No</v>
      </c>
      <c r="D106" s="311" t="str" cm="1">
        <f t="array" aca="1" ref="D106" ca="1">INDIRECT($F106&amp;D$90&amp;"!"&amp;$G106)</f>
        <v>No</v>
      </c>
      <c r="E106" s="307" t="str">
        <f t="shared" si="2"/>
        <v>No</v>
      </c>
      <c r="F106" s="305" t="str">
        <f t="shared" ca="1" si="3"/>
        <v>HP_</v>
      </c>
      <c r="G106" s="305" t="str">
        <f t="shared" ca="1" si="4"/>
        <v>B24</v>
      </c>
      <c r="H106" s="305" t="str">
        <f t="shared" ca="1" si="5"/>
        <v>HP_1!B24</v>
      </c>
    </row>
    <row r="107" spans="1:8" ht="36">
      <c r="A107" s="304" t="str">
        <f>HP_1!A25</f>
        <v>Design Flow Temperature
Use "Default Supply Temperature" unless other evidence available</v>
      </c>
      <c r="B107" s="309">
        <f>HP_1!B25</f>
        <v>0</v>
      </c>
      <c r="C107" s="311" cm="1">
        <f t="array" aca="1" ref="C107" ca="1">INDIRECT($F107&amp;C$90&amp;"!"&amp;$G107)</f>
        <v>0</v>
      </c>
      <c r="D107" s="311" cm="1">
        <f t="array" aca="1" ref="D107" ca="1">INDIRECT($F107&amp;D$90&amp;"!"&amp;$G107)</f>
        <v>0</v>
      </c>
      <c r="E107" s="307">
        <f t="shared" si="2"/>
        <v>0</v>
      </c>
      <c r="F107" s="305" t="str">
        <f t="shared" ca="1" si="3"/>
        <v>HP_</v>
      </c>
      <c r="G107" s="305" t="str">
        <f t="shared" ca="1" si="4"/>
        <v>B25</v>
      </c>
      <c r="H107" s="305" t="str">
        <f t="shared" ca="1" si="5"/>
        <v>HP_1!B25</v>
      </c>
    </row>
    <row r="108" spans="1:8" ht="24">
      <c r="A108" s="304" t="str">
        <f>HP_1!A26</f>
        <v>Exponent n, characterising type of emission system</v>
      </c>
      <c r="B108" s="309">
        <f>HP_1!B26</f>
        <v>1.2</v>
      </c>
      <c r="C108" s="311" cm="1">
        <f t="array" aca="1" ref="C108" ca="1">INDIRECT($F108&amp;C$90&amp;"!"&amp;$G108)</f>
        <v>1.2</v>
      </c>
      <c r="D108" s="311" cm="1">
        <f t="array" aca="1" ref="D108" ca="1">INDIRECT($F108&amp;D$90&amp;"!"&amp;$G108)</f>
        <v>1.2</v>
      </c>
      <c r="E108" s="307">
        <f t="shared" si="2"/>
        <v>1.2</v>
      </c>
      <c r="F108" s="305" t="str">
        <f t="shared" ca="1" si="3"/>
        <v>HP_</v>
      </c>
      <c r="G108" s="305" t="str">
        <f t="shared" ca="1" si="4"/>
        <v>B26</v>
      </c>
      <c r="H108" s="305" t="str">
        <f t="shared" ca="1" si="5"/>
        <v>HP_1!B26</v>
      </c>
    </row>
    <row r="109" spans="1:8">
      <c r="A109" s="304" t="str">
        <f>HP_1!A27</f>
        <v>Emitter Temperature Drop</v>
      </c>
      <c r="B109" s="309">
        <f>HP_1!B27</f>
        <v>10</v>
      </c>
      <c r="C109" s="311" cm="1">
        <f t="array" aca="1" ref="C109" ca="1">INDIRECT($F109&amp;C$90&amp;"!"&amp;$G109)</f>
        <v>10</v>
      </c>
      <c r="D109" s="311" cm="1">
        <f t="array" aca="1" ref="D109" ca="1">INDIRECT($F109&amp;D$90&amp;"!"&amp;$G109)</f>
        <v>10</v>
      </c>
      <c r="E109" s="307">
        <f t="shared" si="2"/>
        <v>10</v>
      </c>
      <c r="F109" s="305" t="str">
        <f t="shared" ca="1" si="3"/>
        <v>HP_</v>
      </c>
      <c r="G109" s="305" t="str">
        <f t="shared" ca="1" si="4"/>
        <v>B27</v>
      </c>
      <c r="H109" s="305" t="str">
        <f t="shared" ca="1" si="5"/>
        <v>HP_1!B27</v>
      </c>
    </row>
    <row r="110" spans="1:8">
      <c r="A110" s="304" t="str">
        <f>HP_1!A28</f>
        <v>Return Temperature at design conditions</v>
      </c>
      <c r="B110" s="309">
        <f>HP_1!B28</f>
        <v>-10</v>
      </c>
      <c r="C110" s="311" cm="1">
        <f t="array" aca="1" ref="C110" ca="1">INDIRECT($F110&amp;C$90&amp;"!"&amp;$G110)</f>
        <v>-10</v>
      </c>
      <c r="D110" s="311" cm="1">
        <f t="array" aca="1" ref="D110" ca="1">INDIRECT($F110&amp;D$90&amp;"!"&amp;$G110)</f>
        <v>-10</v>
      </c>
      <c r="E110" s="307">
        <f t="shared" si="2"/>
        <v>-10</v>
      </c>
      <c r="F110" s="305" t="str">
        <f t="shared" ca="1" si="3"/>
        <v>HP_</v>
      </c>
      <c r="G110" s="305" t="str">
        <f t="shared" ca="1" si="4"/>
        <v>B28</v>
      </c>
      <c r="H110" s="305" t="str">
        <f t="shared" ca="1" si="5"/>
        <v>HP_1!B28</v>
      </c>
    </row>
    <row r="111" spans="1:8">
      <c r="A111" s="304" t="str">
        <f>HP_1!A29</f>
        <v>No of Hrs per Day Heat Pump in Operation</v>
      </c>
      <c r="B111" s="313">
        <f>HP_1!B29</f>
        <v>8</v>
      </c>
      <c r="C111" s="311" cm="1">
        <f t="array" aca="1" ref="C111" ca="1">INDIRECT($F111&amp;C$90&amp;"!"&amp;$G111)</f>
        <v>8</v>
      </c>
      <c r="D111" s="311" cm="1">
        <f t="array" aca="1" ref="D111" ca="1">INDIRECT($F111&amp;D$90&amp;"!"&amp;$G111)</f>
        <v>8</v>
      </c>
      <c r="E111" s="307">
        <f t="shared" si="2"/>
        <v>8</v>
      </c>
      <c r="F111" s="305" t="str">
        <f t="shared" ca="1" si="3"/>
        <v>HP_</v>
      </c>
      <c r="G111" s="305" t="str">
        <f t="shared" ca="1" si="4"/>
        <v>B29</v>
      </c>
      <c r="H111" s="305" t="str">
        <f t="shared" ca="1" si="5"/>
        <v>HP_1!B29</v>
      </c>
    </row>
    <row r="112" spans="1:8">
      <c r="A112" s="304" t="str">
        <f>HP_1!A30</f>
        <v>Cut-out hours</v>
      </c>
      <c r="B112" s="309">
        <f>HP_1!B30</f>
        <v>16</v>
      </c>
      <c r="C112" s="311" cm="1">
        <f t="array" aca="1" ref="C112" ca="1">INDIRECT($F112&amp;C$90&amp;"!"&amp;$G112)</f>
        <v>16</v>
      </c>
      <c r="D112" s="311" cm="1">
        <f t="array" aca="1" ref="D112" ca="1">INDIRECT($F112&amp;D$90&amp;"!"&amp;$G112)</f>
        <v>16</v>
      </c>
      <c r="E112" s="307">
        <f t="shared" si="2"/>
        <v>16</v>
      </c>
      <c r="F112" s="305" t="str">
        <f t="shared" ca="1" si="3"/>
        <v>HP_</v>
      </c>
      <c r="G112" s="305" t="str">
        <f t="shared" ca="1" si="4"/>
        <v>B30</v>
      </c>
      <c r="H112" s="305" t="str">
        <f t="shared" ca="1" si="5"/>
        <v>HP_1!B30</v>
      </c>
    </row>
    <row r="113" spans="1:8">
      <c r="A113" s="304" t="str">
        <f>HP_1!A31</f>
        <v>Heat pump fuel primary energy factor</v>
      </c>
      <c r="B113" s="309">
        <f>HP_1!B31</f>
        <v>1.75</v>
      </c>
      <c r="C113" s="311" cm="1">
        <f t="array" aca="1" ref="C113" ca="1">INDIRECT($F113&amp;C$90&amp;"!"&amp;$G113)</f>
        <v>1.75</v>
      </c>
      <c r="D113" s="311" cm="1">
        <f t="array" aca="1" ref="D113" ca="1">INDIRECT($F113&amp;D$90&amp;"!"&amp;$G113)</f>
        <v>1.75</v>
      </c>
      <c r="E113" s="307">
        <f t="shared" si="2"/>
        <v>1.75</v>
      </c>
      <c r="F113" s="305" t="str">
        <f t="shared" ca="1" si="3"/>
        <v>HP_</v>
      </c>
      <c r="G113" s="305" t="str">
        <f t="shared" ca="1" si="4"/>
        <v>B31</v>
      </c>
      <c r="H113" s="305" t="str">
        <f t="shared" ca="1" si="5"/>
        <v>HP_1!B31</v>
      </c>
    </row>
    <row r="114" spans="1:8" ht="24">
      <c r="A114" s="304" t="str">
        <f>HP_1!A32</f>
        <v>Is a Back Up Space Heater Present within Dwelling</v>
      </c>
      <c r="B114" s="309" t="str">
        <f>HP_1!B32</f>
        <v>No</v>
      </c>
      <c r="C114" s="311" t="str" cm="1">
        <f t="array" aca="1" ref="C114" ca="1">INDIRECT($F114&amp;C$90&amp;"!"&amp;$G114)</f>
        <v>No</v>
      </c>
      <c r="D114" s="311" t="str" cm="1">
        <f t="array" aca="1" ref="D114" ca="1">INDIRECT($F114&amp;D$90&amp;"!"&amp;$G114)</f>
        <v>No</v>
      </c>
      <c r="E114" s="307" t="str">
        <f t="shared" si="2"/>
        <v>No</v>
      </c>
      <c r="F114" s="305" t="str">
        <f t="shared" ca="1" si="3"/>
        <v>HP_</v>
      </c>
      <c r="G114" s="305" t="str">
        <f t="shared" ca="1" si="4"/>
        <v>B32</v>
      </c>
      <c r="H114" s="305" t="str">
        <f t="shared" ca="1" si="5"/>
        <v>HP_1!B32</v>
      </c>
    </row>
    <row r="115" spans="1:8">
      <c r="A115" s="304" t="str">
        <f>HP_1!A33</f>
        <v>Back Up Space Heater Fuel</v>
      </c>
      <c r="B115" s="309" t="str">
        <f>HP_1!B33</f>
        <v>Electricity</v>
      </c>
      <c r="C115" s="311" t="str" cm="1">
        <f t="array" aca="1" ref="C115" ca="1">INDIRECT($F115&amp;C$90&amp;"!"&amp;$G115)</f>
        <v>Electricity</v>
      </c>
      <c r="D115" s="311" t="str" cm="1">
        <f t="array" aca="1" ref="D115" ca="1">INDIRECT($F115&amp;D$90&amp;"!"&amp;$G115)</f>
        <v>Electricity</v>
      </c>
      <c r="E115" s="307" t="str">
        <f t="shared" si="2"/>
        <v>Electricity</v>
      </c>
      <c r="F115" s="305" t="str">
        <f t="shared" ca="1" si="3"/>
        <v>HP_</v>
      </c>
      <c r="G115" s="305" t="str">
        <f t="shared" ca="1" si="4"/>
        <v>B33</v>
      </c>
      <c r="H115" s="305" t="str">
        <f t="shared" ca="1" si="5"/>
        <v>HP_1!B33</v>
      </c>
    </row>
    <row r="116" spans="1:8" ht="24">
      <c r="A116" s="304" t="str">
        <f>HP_1!A34</f>
        <v>Primary Energy Factor for Back Up Space Heater</v>
      </c>
      <c r="B116" s="309">
        <f>HP_1!B34</f>
        <v>1.75</v>
      </c>
      <c r="C116" s="311" cm="1">
        <f t="array" aca="1" ref="C116" ca="1">INDIRECT($F116&amp;C$90&amp;"!"&amp;$G116)</f>
        <v>1.75</v>
      </c>
      <c r="D116" s="311" cm="1">
        <f t="array" aca="1" ref="D116" ca="1">INDIRECT($F116&amp;D$90&amp;"!"&amp;$G116)</f>
        <v>1.75</v>
      </c>
      <c r="E116" s="307">
        <f t="shared" si="2"/>
        <v>1.75</v>
      </c>
      <c r="F116" s="305" t="str">
        <f t="shared" ca="1" si="3"/>
        <v>HP_</v>
      </c>
      <c r="G116" s="305" t="str">
        <f t="shared" ca="1" si="4"/>
        <v>B34</v>
      </c>
      <c r="H116" s="305" t="str">
        <f t="shared" ca="1" si="5"/>
        <v>HP_1!B34</v>
      </c>
    </row>
    <row r="117" spans="1:8">
      <c r="A117" s="304" t="str">
        <f>HP_1!A35</f>
        <v>Efficiency of Back up Space Heater</v>
      </c>
      <c r="B117" s="309">
        <f>HP_1!B35</f>
        <v>0</v>
      </c>
      <c r="C117" s="311" cm="1">
        <f t="array" aca="1" ref="C117" ca="1">INDIRECT($F117&amp;C$90&amp;"!"&amp;$G117)</f>
        <v>0</v>
      </c>
      <c r="D117" s="311" cm="1">
        <f t="array" aca="1" ref="D117" ca="1">INDIRECT($F117&amp;D$90&amp;"!"&amp;$G117)</f>
        <v>0</v>
      </c>
      <c r="E117" s="307">
        <f t="shared" si="2"/>
        <v>0</v>
      </c>
      <c r="F117" s="305" t="str">
        <f t="shared" ca="1" si="3"/>
        <v>HP_</v>
      </c>
      <c r="G117" s="305" t="str">
        <f t="shared" ca="1" si="4"/>
        <v>B35</v>
      </c>
      <c r="H117" s="305" t="str">
        <f t="shared" ca="1" si="5"/>
        <v>HP_1!B35</v>
      </c>
    </row>
    <row r="118" spans="1:8" ht="24">
      <c r="A118" s="304" t="str">
        <f>HP_1!A36</f>
        <v>Adjusted Efficiency of Back up Space Heater relative to fuel used for heat pump</v>
      </c>
      <c r="B118" s="315">
        <f>HP_1!B36</f>
        <v>1</v>
      </c>
      <c r="C118" s="311" cm="1">
        <f t="array" aca="1" ref="C118" ca="1">INDIRECT($F118&amp;C$90&amp;"!"&amp;$G118)</f>
        <v>1</v>
      </c>
      <c r="D118" s="311" cm="1">
        <f t="array" aca="1" ref="D118" ca="1">INDIRECT($F118&amp;D$90&amp;"!"&amp;$G118)</f>
        <v>1</v>
      </c>
      <c r="E118" s="308">
        <f t="shared" si="2"/>
        <v>1</v>
      </c>
      <c r="F118" s="305" t="str">
        <f t="shared" ca="1" si="3"/>
        <v>HP_</v>
      </c>
      <c r="G118" s="305" t="str">
        <f t="shared" ca="1" si="4"/>
        <v>B36</v>
      </c>
      <c r="H118" s="305" t="str">
        <f t="shared" ca="1" si="5"/>
        <v>HP_1!B36</v>
      </c>
    </row>
    <row r="119" spans="1:8" ht="24">
      <c r="A119" s="304" t="str">
        <f>HP_1!A65</f>
        <v>Type of heat pump</v>
      </c>
      <c r="B119" s="315" t="str">
        <f>HP_1!B65</f>
        <v>Air to Water</v>
      </c>
      <c r="C119" s="311" t="str" cm="1">
        <f t="array" aca="1" ref="C119" ca="1">INDIRECT($F119&amp;C$90&amp;"!"&amp;$G119)</f>
        <v>Air to Water</v>
      </c>
      <c r="D119" s="311" t="str" cm="1">
        <f t="array" aca="1" ref="D119" ca="1">INDIRECT($F119&amp;D$90&amp;"!"&amp;$G119)</f>
        <v>Air to Water</v>
      </c>
      <c r="E119" s="308" t="str">
        <f t="shared" ref="E119:E147" si="6">VLOOKUP(A119,A119:D119,$K$1+1,FALSE)</f>
        <v>Air to Water</v>
      </c>
      <c r="F119" s="305" t="str">
        <f t="shared" ref="F119:F147" ca="1" si="7">LEFT(H119,FIND("1",H119)-1)</f>
        <v>HP_</v>
      </c>
      <c r="G119" s="305" t="str">
        <f t="shared" ref="G119:G147" ca="1" si="8">RIGHT(H119,LEN(H119)-FIND("!",H119))</f>
        <v>B65</v>
      </c>
      <c r="H119" s="305" t="str">
        <f t="shared" ref="H119:H147" ca="1" si="9">SUBSTITUTE( _xlfn.FORMULATEXT(B119),"=","")</f>
        <v>HP_1!B65</v>
      </c>
    </row>
    <row r="120" spans="1:8" ht="36">
      <c r="A120" s="304" t="str">
        <f>HP_1!A66</f>
        <v>Temperature Control 
(refered to as Capacity Control in Ecodesign Standard Template)</v>
      </c>
      <c r="B120" s="315" t="str">
        <f>HP_1!B66</f>
        <v>Fixed Outlet</v>
      </c>
      <c r="C120" s="311" t="str" cm="1">
        <f t="array" aca="1" ref="C120" ca="1">INDIRECT($F120&amp;C$90&amp;"!"&amp;$G120)</f>
        <v>Fixed Outlet</v>
      </c>
      <c r="D120" s="311" t="str" cm="1">
        <f t="array" aca="1" ref="D120" ca="1">INDIRECT($F120&amp;D$90&amp;"!"&amp;$G120)</f>
        <v>Fixed Outlet</v>
      </c>
      <c r="E120" s="308" t="str">
        <f t="shared" si="6"/>
        <v>Fixed Outlet</v>
      </c>
      <c r="F120" s="305" t="str">
        <f t="shared" ca="1" si="7"/>
        <v>HP_</v>
      </c>
      <c r="G120" s="305" t="str">
        <f t="shared" ca="1" si="8"/>
        <v>B66</v>
      </c>
      <c r="H120" s="305" t="str">
        <f t="shared" ca="1" si="9"/>
        <v>HP_1!B66</v>
      </c>
    </row>
    <row r="121" spans="1:8" ht="108">
      <c r="A121" s="304" t="str">
        <f>HP_1!A67</f>
        <v>Describe the water heating heat pump arrangement</v>
      </c>
      <c r="B121" s="315" t="str">
        <f>HP_1!B67</f>
        <v>Same Heat Pump providing Space Heating and Domestic Hot Water</v>
      </c>
      <c r="C121" s="311" t="str" cm="1">
        <f t="array" aca="1" ref="C121" ca="1">INDIRECT($F121&amp;C$90&amp;"!"&amp;$G121)</f>
        <v>Same Heat Pump providing Space Heating and Domestic Hot Water</v>
      </c>
      <c r="D121" s="311" t="str" cm="1">
        <f t="array" aca="1" ref="D121" ca="1">INDIRECT($F121&amp;D$90&amp;"!"&amp;$G121)</f>
        <v>Same Heat Pump providing Space Heating and Domestic Hot Water</v>
      </c>
      <c r="E121" s="308" t="str">
        <f t="shared" si="6"/>
        <v>Same Heat Pump providing Space Heating and Domestic Hot Water</v>
      </c>
      <c r="F121" s="305" t="str">
        <f t="shared" ca="1" si="7"/>
        <v>HP_</v>
      </c>
      <c r="G121" s="305" t="str">
        <f t="shared" ca="1" si="8"/>
        <v>B67</v>
      </c>
      <c r="H121" s="305" t="str">
        <f t="shared" ca="1" si="9"/>
        <v>HP_1!B67</v>
      </c>
    </row>
    <row r="122" spans="1:8" ht="24">
      <c r="A122" s="304" t="str">
        <f>HP_1!A68</f>
        <v>Water Heating Test Standard</v>
      </c>
      <c r="B122" s="315" t="str">
        <f>HP_1!B68</f>
        <v>I.S. EN 16147</v>
      </c>
      <c r="C122" s="311" t="str" cm="1">
        <f t="array" aca="1" ref="C122" ca="1">INDIRECT($F122&amp;C$90&amp;"!"&amp;$G122)</f>
        <v>I.S. EN 16147</v>
      </c>
      <c r="D122" s="311" t="str" cm="1">
        <f t="array" aca="1" ref="D122" ca="1">INDIRECT($F122&amp;D$90&amp;"!"&amp;$G122)</f>
        <v>I.S. EN 16147</v>
      </c>
      <c r="E122" s="308" t="str">
        <f t="shared" si="6"/>
        <v>I.S. EN 16147</v>
      </c>
      <c r="F122" s="305" t="str">
        <f t="shared" ca="1" si="7"/>
        <v>HP_</v>
      </c>
      <c r="G122" s="305" t="str">
        <f t="shared" ca="1" si="8"/>
        <v>B68</v>
      </c>
      <c r="H122" s="305" t="str">
        <f t="shared" ca="1" si="9"/>
        <v>HP_1!B68</v>
      </c>
    </row>
    <row r="123" spans="1:8">
      <c r="A123" s="304" t="str">
        <f>HP_1!A69</f>
        <v>Output from Main Water Heater</v>
      </c>
      <c r="B123" s="316">
        <f>HP_1!B69</f>
        <v>0</v>
      </c>
      <c r="C123" s="311" cm="1">
        <f t="array" aca="1" ref="C123" ca="1">INDIRECT($F123&amp;C$90&amp;"!"&amp;$G123)</f>
        <v>0</v>
      </c>
      <c r="D123" s="311" cm="1">
        <f t="array" aca="1" ref="D123" ca="1">INDIRECT($F123&amp;D$90&amp;"!"&amp;$G123)</f>
        <v>0</v>
      </c>
      <c r="E123" s="310">
        <f t="shared" si="6"/>
        <v>0</v>
      </c>
      <c r="F123" s="305" t="str">
        <f t="shared" ca="1" si="7"/>
        <v>HP_</v>
      </c>
      <c r="G123" s="305" t="str">
        <f t="shared" ca="1" si="8"/>
        <v>B69</v>
      </c>
      <c r="H123" s="305" t="str">
        <f t="shared" ca="1" si="9"/>
        <v>HP_1!B69</v>
      </c>
    </row>
    <row r="124" spans="1:8" ht="36">
      <c r="A124" s="304" t="str">
        <f>HP_1!A70</f>
        <v>Type of DHW</v>
      </c>
      <c r="B124" s="316" t="str">
        <f>HP_1!B70</f>
        <v>Separate Hot Water Storage</v>
      </c>
      <c r="C124" s="311" t="str" cm="1">
        <f t="array" aca="1" ref="C124" ca="1">INDIRECT($F124&amp;C$90&amp;"!"&amp;$G124)</f>
        <v>Separate Hot Water Storage</v>
      </c>
      <c r="D124" s="311" t="str" cm="1">
        <f t="array" aca="1" ref="D124" ca="1">INDIRECT($F124&amp;D$90&amp;"!"&amp;$G124)</f>
        <v>Separate Hot Water Storage</v>
      </c>
      <c r="E124" s="308" t="str">
        <f t="shared" si="6"/>
        <v>Separate Hot Water Storage</v>
      </c>
      <c r="F124" s="305" t="str">
        <f t="shared" ca="1" si="7"/>
        <v>HP_</v>
      </c>
      <c r="G124" s="305" t="str">
        <f t="shared" ca="1" si="8"/>
        <v>B70</v>
      </c>
      <c r="H124" s="305" t="str">
        <f t="shared" ca="1" si="9"/>
        <v>HP_1!B70</v>
      </c>
    </row>
    <row r="125" spans="1:8">
      <c r="A125" s="304" t="str">
        <f>HP_1!A71</f>
        <v>Cold Water Inlet Temperature</v>
      </c>
      <c r="B125" s="316">
        <f>HP_1!B71</f>
        <v>10</v>
      </c>
      <c r="C125" s="311" cm="1">
        <f t="array" aca="1" ref="C125" ca="1">INDIRECT($F125&amp;C$90&amp;"!"&amp;$G125)</f>
        <v>10</v>
      </c>
      <c r="D125" s="311" cm="1">
        <f t="array" aca="1" ref="D125" ca="1">INDIRECT($F125&amp;D$90&amp;"!"&amp;$G125)</f>
        <v>10</v>
      </c>
      <c r="E125" s="310">
        <f t="shared" si="6"/>
        <v>10</v>
      </c>
      <c r="F125" s="305" t="str">
        <f t="shared" ca="1" si="7"/>
        <v>HP_</v>
      </c>
      <c r="G125" s="305" t="str">
        <f t="shared" ca="1" si="8"/>
        <v>B71</v>
      </c>
      <c r="H125" s="305" t="str">
        <f t="shared" ca="1" si="9"/>
        <v>HP_1!B71</v>
      </c>
    </row>
    <row r="126" spans="1:8" ht="24">
      <c r="A126" s="304" t="str">
        <f>HP_1!A72</f>
        <v>Required Flow Temperature from Heat Pump to Hot Water Storage</v>
      </c>
      <c r="B126" s="316">
        <f>HP_1!B72</f>
        <v>65</v>
      </c>
      <c r="C126" s="311" cm="1">
        <f t="array" aca="1" ref="C126" ca="1">INDIRECT($F126&amp;C$90&amp;"!"&amp;$G126)</f>
        <v>65</v>
      </c>
      <c r="D126" s="311" cm="1">
        <f t="array" aca="1" ref="D126" ca="1">INDIRECT($F126&amp;D$90&amp;"!"&amp;$G126)</f>
        <v>65</v>
      </c>
      <c r="E126" s="310">
        <f t="shared" si="6"/>
        <v>65</v>
      </c>
      <c r="F126" s="305" t="str">
        <f t="shared" ca="1" si="7"/>
        <v>HP_</v>
      </c>
      <c r="G126" s="305" t="str">
        <f t="shared" ca="1" si="8"/>
        <v>B72</v>
      </c>
      <c r="H126" s="305" t="str">
        <f t="shared" ca="1" si="9"/>
        <v>HP_1!B72</v>
      </c>
    </row>
    <row r="127" spans="1:8">
      <c r="A127" s="304" t="str">
        <f>HP_1!A73</f>
        <v>Volume of DHW Storage</v>
      </c>
      <c r="B127" s="316">
        <f>HP_1!B73</f>
        <v>0</v>
      </c>
      <c r="C127" s="311" cm="1">
        <f t="array" aca="1" ref="C127" ca="1">INDIRECT($F127&amp;C$90&amp;"!"&amp;$G127)</f>
        <v>0</v>
      </c>
      <c r="D127" s="311" cm="1">
        <f t="array" aca="1" ref="D127" ca="1">INDIRECT($F127&amp;D$90&amp;"!"&amp;$G127)</f>
        <v>0</v>
      </c>
      <c r="E127" s="310">
        <f t="shared" si="6"/>
        <v>0</v>
      </c>
      <c r="F127" s="305" t="str">
        <f t="shared" ca="1" si="7"/>
        <v>HP_</v>
      </c>
      <c r="G127" s="305" t="str">
        <f t="shared" ca="1" si="8"/>
        <v>B73</v>
      </c>
      <c r="H127" s="305" t="str">
        <f t="shared" ca="1" si="9"/>
        <v>HP_1!B73</v>
      </c>
    </row>
    <row r="128" spans="1:8" ht="24">
      <c r="A128" s="304" t="str">
        <f>HP_1!A74</f>
        <v>Is there a water heater installed as back up for the heat pump</v>
      </c>
      <c r="B128" s="316" t="str">
        <f>HP_1!B74</f>
        <v>No</v>
      </c>
      <c r="C128" s="311" t="str" cm="1">
        <f t="array" aca="1" ref="C128" ca="1">INDIRECT($F128&amp;C$90&amp;"!"&amp;$G128)</f>
        <v>No</v>
      </c>
      <c r="D128" s="311" t="str" cm="1">
        <f t="array" aca="1" ref="D128" ca="1">INDIRECT($F128&amp;D$90&amp;"!"&amp;$G128)</f>
        <v>No</v>
      </c>
      <c r="E128" s="308" t="str">
        <f t="shared" si="6"/>
        <v>No</v>
      </c>
      <c r="F128" s="305" t="str">
        <f t="shared" ca="1" si="7"/>
        <v>HP_</v>
      </c>
      <c r="G128" s="305" t="str">
        <f t="shared" ca="1" si="8"/>
        <v>B74</v>
      </c>
      <c r="H128" s="305" t="str">
        <f t="shared" ca="1" si="9"/>
        <v>HP_1!B74</v>
      </c>
    </row>
    <row r="129" spans="1:8">
      <c r="A129" s="304" t="str">
        <f>HP_1!A75</f>
        <v>Back Up Water Heater Fuel</v>
      </c>
      <c r="B129" s="316" t="str">
        <f>HP_1!B75</f>
        <v>Electricity</v>
      </c>
      <c r="C129" s="311" t="str" cm="1">
        <f t="array" aca="1" ref="C129" ca="1">INDIRECT($F129&amp;C$90&amp;"!"&amp;$G129)</f>
        <v>Electricity</v>
      </c>
      <c r="D129" s="311" t="str" cm="1">
        <f t="array" aca="1" ref="D129" ca="1">INDIRECT($F129&amp;D$90&amp;"!"&amp;$G129)</f>
        <v>Electricity</v>
      </c>
      <c r="E129" s="308" t="str">
        <f t="shared" si="6"/>
        <v>Electricity</v>
      </c>
      <c r="F129" s="305" t="str">
        <f t="shared" ca="1" si="7"/>
        <v>HP_</v>
      </c>
      <c r="G129" s="305" t="str">
        <f t="shared" ca="1" si="8"/>
        <v>B75</v>
      </c>
      <c r="H129" s="305" t="str">
        <f t="shared" ca="1" si="9"/>
        <v>HP_1!B75</v>
      </c>
    </row>
    <row r="130" spans="1:8" ht="24">
      <c r="A130" s="304" t="str">
        <f>HP_1!A76</f>
        <v>Primary Energy Factor for Back Up Water Heater</v>
      </c>
      <c r="B130" s="316">
        <f>HP_1!B76</f>
        <v>1.75</v>
      </c>
      <c r="C130" s="311" cm="1">
        <f t="array" aca="1" ref="C130" ca="1">INDIRECT($F130&amp;C$90&amp;"!"&amp;$G130)</f>
        <v>1.75</v>
      </c>
      <c r="D130" s="311" cm="1">
        <f t="array" aca="1" ref="D130" ca="1">INDIRECT($F130&amp;D$90&amp;"!"&amp;$G130)</f>
        <v>1.75</v>
      </c>
      <c r="E130" s="310">
        <f t="shared" si="6"/>
        <v>1.75</v>
      </c>
      <c r="F130" s="305" t="str">
        <f t="shared" ca="1" si="7"/>
        <v>HP_</v>
      </c>
      <c r="G130" s="305" t="str">
        <f t="shared" ca="1" si="8"/>
        <v>B76</v>
      </c>
      <c r="H130" s="305" t="str">
        <f t="shared" ca="1" si="9"/>
        <v>HP_1!B76</v>
      </c>
    </row>
    <row r="131" spans="1:8">
      <c r="A131" s="304" t="str">
        <f>HP_1!A77</f>
        <v>Efficiency of Back up Water Heater</v>
      </c>
      <c r="B131" s="316">
        <f>HP_1!B77</f>
        <v>0</v>
      </c>
      <c r="C131" s="311" cm="1">
        <f t="array" aca="1" ref="C131" ca="1">INDIRECT($F131&amp;C$90&amp;"!"&amp;$G131)</f>
        <v>0</v>
      </c>
      <c r="D131" s="311" cm="1">
        <f t="array" aca="1" ref="D131" ca="1">INDIRECT($F131&amp;D$90&amp;"!"&amp;$G131)</f>
        <v>0</v>
      </c>
      <c r="E131" s="308">
        <f t="shared" si="6"/>
        <v>0</v>
      </c>
      <c r="F131" s="305" t="str">
        <f t="shared" ca="1" si="7"/>
        <v>HP_</v>
      </c>
      <c r="G131" s="305" t="str">
        <f t="shared" ca="1" si="8"/>
        <v>B77</v>
      </c>
      <c r="H131" s="305" t="str">
        <f t="shared" ca="1" si="9"/>
        <v>HP_1!B77</v>
      </c>
    </row>
    <row r="132" spans="1:8" ht="24">
      <c r="A132" s="304" t="str">
        <f>HP_1!A78</f>
        <v>Adjusted Efficiency of Back up Water Heater relative to fuel used by heat pump</v>
      </c>
      <c r="B132" s="316">
        <f>HP_1!B78</f>
        <v>1</v>
      </c>
      <c r="C132" s="311" cm="1">
        <f t="array" aca="1" ref="C132" ca="1">INDIRECT($F132&amp;C$90&amp;"!"&amp;$G132)</f>
        <v>1</v>
      </c>
      <c r="D132" s="311" cm="1">
        <f t="array" aca="1" ref="D132" ca="1">INDIRECT($F132&amp;D$90&amp;"!"&amp;$G132)</f>
        <v>1</v>
      </c>
      <c r="E132" s="308">
        <f t="shared" si="6"/>
        <v>1</v>
      </c>
      <c r="F132" s="305" t="str">
        <f t="shared" ca="1" si="7"/>
        <v>HP_</v>
      </c>
      <c r="G132" s="305" t="str">
        <f t="shared" ca="1" si="8"/>
        <v>B78</v>
      </c>
      <c r="H132" s="305" t="str">
        <f t="shared" ca="1" si="9"/>
        <v>HP_1!B78</v>
      </c>
    </row>
    <row r="133" spans="1:8" ht="60">
      <c r="A133" s="304" t="str">
        <f>HP_1!A81</f>
        <v>Source of data</v>
      </c>
      <c r="B133" s="316" t="str">
        <f>HP_1!B81</f>
        <v>Water heating energy efficiency, ηwh</v>
      </c>
      <c r="C133" s="311" t="str" cm="1">
        <f t="array" aca="1" ref="C133" ca="1">INDIRECT($F133&amp;C$90&amp;"!"&amp;$G133)</f>
        <v>Water heating energy efficiency, ηwh</v>
      </c>
      <c r="D133" s="311" t="str" cm="1">
        <f t="array" aca="1" ref="D133" ca="1">INDIRECT($F133&amp;D$90&amp;"!"&amp;$G133)</f>
        <v>Water heating energy efficiency, ηwh</v>
      </c>
      <c r="E133" s="308" t="str">
        <f t="shared" si="6"/>
        <v>Water heating energy efficiency, ηwh</v>
      </c>
      <c r="F133" s="305" t="str">
        <f t="shared" ca="1" si="7"/>
        <v>HP_</v>
      </c>
      <c r="G133" s="305" t="str">
        <f t="shared" ca="1" si="8"/>
        <v>B81</v>
      </c>
      <c r="H133" s="305" t="str">
        <f t="shared" ca="1" si="9"/>
        <v>HP_1!B81</v>
      </c>
    </row>
    <row r="134" spans="1:8">
      <c r="A134" s="304" t="str">
        <f>HP_1!A82</f>
        <v>Water heating energy efficiency, ηwh</v>
      </c>
      <c r="B134" s="316">
        <f>HP_1!B82</f>
        <v>0</v>
      </c>
      <c r="C134" s="311" cm="1">
        <f t="array" aca="1" ref="C134" ca="1">INDIRECT($F134&amp;C$90&amp;"!"&amp;$G134)</f>
        <v>0</v>
      </c>
      <c r="D134" s="311" cm="1">
        <f t="array" aca="1" ref="D134" ca="1">INDIRECT($F134&amp;D$90&amp;"!"&amp;$G134)</f>
        <v>0</v>
      </c>
      <c r="E134" s="310">
        <f t="shared" si="6"/>
        <v>0</v>
      </c>
      <c r="F134" s="305" t="str">
        <f t="shared" ca="1" si="7"/>
        <v>HP_</v>
      </c>
      <c r="G134" s="305" t="str">
        <f t="shared" ca="1" si="8"/>
        <v>B82</v>
      </c>
      <c r="H134" s="305" t="str">
        <f t="shared" ca="1" si="9"/>
        <v>HP_1!B82</v>
      </c>
    </row>
    <row r="135" spans="1:8">
      <c r="A135" s="304" t="str">
        <f>HP_1!A83</f>
        <v xml:space="preserve">Equivalent Coefficient of Performance </v>
      </c>
      <c r="B135" s="316">
        <f>HP_1!B83</f>
        <v>0</v>
      </c>
      <c r="C135" s="311" cm="1">
        <f t="array" aca="1" ref="C135" ca="1">INDIRECT($F135&amp;C$90&amp;"!"&amp;$G135)</f>
        <v>0</v>
      </c>
      <c r="D135" s="311" cm="1">
        <f t="array" aca="1" ref="D135" ca="1">INDIRECT($F135&amp;D$90&amp;"!"&amp;$G135)</f>
        <v>0</v>
      </c>
      <c r="E135" s="310">
        <f t="shared" si="6"/>
        <v>0</v>
      </c>
      <c r="F135" s="305" t="str">
        <f t="shared" ca="1" si="7"/>
        <v>HP_</v>
      </c>
      <c r="G135" s="305" t="str">
        <f t="shared" ca="1" si="8"/>
        <v>B83</v>
      </c>
      <c r="H135" s="305" t="str">
        <f t="shared" ca="1" si="9"/>
        <v>HP_1!B83</v>
      </c>
    </row>
    <row r="136" spans="1:8">
      <c r="A136" s="304" t="str">
        <f>HP_1!A84</f>
        <v>Reference Hot Water Temperature</v>
      </c>
      <c r="B136" s="316" t="str">
        <f>HP_1!B84</f>
        <v xml:space="preserve"> </v>
      </c>
      <c r="C136" s="311" cm="1">
        <f t="array" aca="1" ref="C136" ca="1">INDIRECT($F136&amp;C$90&amp;"!"&amp;$G136)</f>
        <v>0</v>
      </c>
      <c r="D136" s="311" cm="1">
        <f t="array" aca="1" ref="D136" ca="1">INDIRECT($F136&amp;D$90&amp;"!"&amp;$G136)</f>
        <v>0</v>
      </c>
      <c r="E136" s="310" t="str">
        <f t="shared" si="6"/>
        <v xml:space="preserve"> </v>
      </c>
      <c r="F136" s="305" t="str">
        <f t="shared" ca="1" si="7"/>
        <v>HP_</v>
      </c>
      <c r="G136" s="305" t="str">
        <f t="shared" ca="1" si="8"/>
        <v>B84</v>
      </c>
      <c r="H136" s="305" t="str">
        <f t="shared" ca="1" si="9"/>
        <v>HP_1!B84</v>
      </c>
    </row>
    <row r="137" spans="1:8">
      <c r="A137" s="304" t="str">
        <f>HP_1!A85</f>
        <v>Required Source Temperature</v>
      </c>
      <c r="B137" s="316">
        <f>HP_1!B85</f>
        <v>7</v>
      </c>
      <c r="C137" s="311" cm="1">
        <f t="array" aca="1" ref="C137" ca="1">INDIRECT($F137&amp;C$90&amp;"!"&amp;$G137)</f>
        <v>7</v>
      </c>
      <c r="D137" s="311" cm="1">
        <f t="array" aca="1" ref="D137" ca="1">INDIRECT($F137&amp;D$90&amp;"!"&amp;$G137)</f>
        <v>7</v>
      </c>
      <c r="E137" s="310">
        <f t="shared" si="6"/>
        <v>7</v>
      </c>
      <c r="F137" s="305" t="str">
        <f t="shared" ca="1" si="7"/>
        <v>HP_</v>
      </c>
      <c r="G137" s="305" t="str">
        <f t="shared" ca="1" si="8"/>
        <v>B85</v>
      </c>
      <c r="H137" s="305" t="str">
        <f t="shared" ca="1" si="9"/>
        <v>HP_1!B85</v>
      </c>
    </row>
    <row r="138" spans="1:8">
      <c r="A138" s="304" t="str">
        <f>HP_1!A86</f>
        <v>Capacity of Heat Pump</v>
      </c>
      <c r="B138" s="316">
        <f>HP_1!B86</f>
        <v>0</v>
      </c>
      <c r="C138" s="311" cm="1">
        <f t="array" aca="1" ref="C138" ca="1">INDIRECT($F138&amp;C$90&amp;"!"&amp;$G138)</f>
        <v>0</v>
      </c>
      <c r="D138" s="311" cm="1">
        <f t="array" aca="1" ref="D138" ca="1">INDIRECT($F138&amp;D$90&amp;"!"&amp;$G138)</f>
        <v>0</v>
      </c>
      <c r="E138" s="310">
        <f t="shared" si="6"/>
        <v>0</v>
      </c>
      <c r="F138" s="305" t="str">
        <f t="shared" ca="1" si="7"/>
        <v>HP_</v>
      </c>
      <c r="G138" s="305" t="str">
        <f t="shared" ca="1" si="8"/>
        <v>B86</v>
      </c>
      <c r="H138" s="305" t="str">
        <f t="shared" ca="1" si="9"/>
        <v>HP_1!B86</v>
      </c>
    </row>
    <row r="139" spans="1:8">
      <c r="A139" s="304" t="str">
        <f>HP_1!A87</f>
        <v>Declared Load Profile</v>
      </c>
      <c r="B139" s="316" t="str">
        <f>HP_1!B87</f>
        <v>M</v>
      </c>
      <c r="C139" s="311" t="str" cm="1">
        <f t="array" aca="1" ref="C139" ca="1">INDIRECT($F139&amp;C$90&amp;"!"&amp;$G139)</f>
        <v>M</v>
      </c>
      <c r="D139" s="311" t="str" cm="1">
        <f t="array" aca="1" ref="D139" ca="1">INDIRECT($F139&amp;D$90&amp;"!"&amp;$G139)</f>
        <v>M</v>
      </c>
      <c r="E139" s="308" t="str">
        <f t="shared" si="6"/>
        <v>M</v>
      </c>
      <c r="F139" s="305" t="str">
        <f t="shared" ca="1" si="7"/>
        <v>HP_</v>
      </c>
      <c r="G139" s="305" t="str">
        <f t="shared" ca="1" si="8"/>
        <v>B87</v>
      </c>
      <c r="H139" s="305" t="str">
        <f t="shared" ca="1" si="9"/>
        <v>HP_1!B87</v>
      </c>
    </row>
    <row r="140" spans="1:8">
      <c r="A140" s="304" t="str">
        <f>HP_1!A88</f>
        <v>Standby Heat Loss</v>
      </c>
      <c r="B140" s="316">
        <f>HP_1!B88</f>
        <v>0</v>
      </c>
      <c r="C140" s="311" cm="1">
        <f t="array" aca="1" ref="C140" ca="1">INDIRECT($F140&amp;C$90&amp;"!"&amp;$G140)</f>
        <v>0</v>
      </c>
      <c r="D140" s="311" cm="1">
        <f t="array" aca="1" ref="D140" ca="1">INDIRECT($F140&amp;D$90&amp;"!"&amp;$G140)</f>
        <v>0</v>
      </c>
      <c r="E140" s="310">
        <f t="shared" si="6"/>
        <v>0</v>
      </c>
      <c r="F140" s="305" t="str">
        <f t="shared" ca="1" si="7"/>
        <v>HP_</v>
      </c>
      <c r="G140" s="305" t="str">
        <f t="shared" ca="1" si="8"/>
        <v>B88</v>
      </c>
      <c r="H140" s="305" t="str">
        <f t="shared" ca="1" si="9"/>
        <v>HP_1!B88</v>
      </c>
    </row>
    <row r="141" spans="1:8">
      <c r="A141" s="304" t="str">
        <f>HP_1!A89</f>
        <v>Volume of DHW accounted for in test</v>
      </c>
      <c r="B141" s="316">
        <f>HP_1!B89</f>
        <v>0</v>
      </c>
      <c r="C141" s="311" cm="1">
        <f t="array" aca="1" ref="C141" ca="1">INDIRECT($F141&amp;C$90&amp;"!"&amp;$G141)</f>
        <v>0</v>
      </c>
      <c r="D141" s="311" cm="1">
        <f t="array" aca="1" ref="D141" ca="1">INDIRECT($F141&amp;D$90&amp;"!"&amp;$G141)</f>
        <v>0</v>
      </c>
      <c r="E141" s="310">
        <f t="shared" si="6"/>
        <v>0</v>
      </c>
      <c r="F141" s="305" t="str">
        <f t="shared" ca="1" si="7"/>
        <v>HP_</v>
      </c>
      <c r="G141" s="305" t="str">
        <f t="shared" ca="1" si="8"/>
        <v>B89</v>
      </c>
      <c r="H141" s="305" t="str">
        <f t="shared" ca="1" si="9"/>
        <v>HP_1!B89</v>
      </c>
    </row>
    <row r="142" spans="1:8">
      <c r="A142" s="304" t="str">
        <f>HP_1!A92</f>
        <v>Is the Heat Pump Listed on HARP</v>
      </c>
      <c r="B142" s="316" t="str">
        <f>HP_1!B92</f>
        <v>Yes</v>
      </c>
      <c r="C142" s="311" t="str" cm="1">
        <f t="array" aca="1" ref="C142" ca="1">INDIRECT($F142&amp;C$90&amp;"!"&amp;$G142)</f>
        <v>Yes</v>
      </c>
      <c r="D142" s="311" t="str" cm="1">
        <f t="array" aca="1" ref="D142" ca="1">INDIRECT($F142&amp;D$90&amp;"!"&amp;$G142)</f>
        <v>Yes</v>
      </c>
      <c r="E142" s="308" t="str">
        <f t="shared" si="6"/>
        <v>Yes</v>
      </c>
      <c r="F142" s="305" t="str">
        <f t="shared" ca="1" si="7"/>
        <v>HP_</v>
      </c>
      <c r="G142" s="305" t="str">
        <f t="shared" ca="1" si="8"/>
        <v>B92</v>
      </c>
      <c r="H142" s="305" t="str">
        <f t="shared" ca="1" si="9"/>
        <v>HP_1!B92</v>
      </c>
    </row>
    <row r="143" spans="1:8" ht="24">
      <c r="A143" s="304" t="str">
        <f>HP_1!A93</f>
        <v>Enter SPF based on DEAP Methodology/ HARP</v>
      </c>
      <c r="B143" s="316">
        <f>HP_1!B93</f>
        <v>3.33</v>
      </c>
      <c r="C143" s="311" cm="1">
        <f t="array" aca="1" ref="C143" ca="1">INDIRECT($F143&amp;C$90&amp;"!"&amp;$G143)</f>
        <v>3.33</v>
      </c>
      <c r="D143" s="311" cm="1">
        <f t="array" aca="1" ref="D143" ca="1">INDIRECT($F143&amp;D$90&amp;"!"&amp;$G143)</f>
        <v>3.33</v>
      </c>
      <c r="E143" s="310">
        <f t="shared" si="6"/>
        <v>3.33</v>
      </c>
      <c r="F143" s="305" t="str">
        <f t="shared" ca="1" si="7"/>
        <v>HP_</v>
      </c>
      <c r="G143" s="305" t="str">
        <f t="shared" ca="1" si="8"/>
        <v>B93</v>
      </c>
      <c r="H143" s="305" t="str">
        <f t="shared" ca="1" si="9"/>
        <v>HP_1!B93</v>
      </c>
    </row>
    <row r="144" spans="1:8" ht="24">
      <c r="A144" s="304" t="str">
        <f>HP_1!A94</f>
        <v>Is there load or weather compensation present?</v>
      </c>
      <c r="B144" s="316" t="str">
        <f>HP_1!B94</f>
        <v>Yes</v>
      </c>
      <c r="C144" s="311" t="str" cm="1">
        <f t="array" aca="1" ref="C144" ca="1">INDIRECT($F144&amp;C$90&amp;"!"&amp;$G144)</f>
        <v>Yes</v>
      </c>
      <c r="D144" s="311" t="str" cm="1">
        <f t="array" aca="1" ref="D144" ca="1">INDIRECT($F144&amp;D$90&amp;"!"&amp;$G144)</f>
        <v>Yes</v>
      </c>
      <c r="E144" s="308" t="str">
        <f t="shared" si="6"/>
        <v>Yes</v>
      </c>
      <c r="F144" s="305" t="str">
        <f t="shared" ca="1" si="7"/>
        <v>HP_</v>
      </c>
      <c r="G144" s="305" t="str">
        <f t="shared" ca="1" si="8"/>
        <v>B94</v>
      </c>
      <c r="H144" s="305" t="str">
        <f t="shared" ca="1" si="9"/>
        <v>HP_1!B94</v>
      </c>
    </row>
    <row r="145" spans="1:8" ht="24">
      <c r="A145" s="304" t="str">
        <f>HP_1!A95</f>
        <v>Does the heat pump have an Integral Immersion</v>
      </c>
      <c r="B145" s="316" t="str">
        <f>HP_1!B95</f>
        <v>No</v>
      </c>
      <c r="C145" s="311" t="str" cm="1">
        <f t="array" aca="1" ref="C145" ca="1">INDIRECT($F145&amp;C$90&amp;"!"&amp;$G145)</f>
        <v>No</v>
      </c>
      <c r="D145" s="311" t="str" cm="1">
        <f t="array" aca="1" ref="D145" ca="1">INDIRECT($F145&amp;D$90&amp;"!"&amp;$G145)</f>
        <v>No</v>
      </c>
      <c r="E145" s="308" t="str">
        <f t="shared" si="6"/>
        <v>No</v>
      </c>
      <c r="F145" s="305" t="str">
        <f t="shared" ca="1" si="7"/>
        <v>HP_</v>
      </c>
      <c r="G145" s="305" t="str">
        <f t="shared" ca="1" si="8"/>
        <v>B95</v>
      </c>
      <c r="H145" s="305" t="str">
        <f t="shared" ca="1" si="9"/>
        <v>HP_1!B95</v>
      </c>
    </row>
    <row r="146" spans="1:8" ht="24">
      <c r="A146" s="304" t="str">
        <f>HP_1!A96</f>
        <v>Does heat pump reach a flow temperature of &gt;=65oC</v>
      </c>
      <c r="B146" s="316" t="str">
        <f>HP_1!B96</f>
        <v>Yes</v>
      </c>
      <c r="C146" s="311" t="str" cm="1">
        <f t="array" aca="1" ref="C146" ca="1">INDIRECT($F146&amp;C$90&amp;"!"&amp;$G146)</f>
        <v>Yes</v>
      </c>
      <c r="D146" s="311" t="str" cm="1">
        <f t="array" aca="1" ref="D146" ca="1">INDIRECT($F146&amp;D$90&amp;"!"&amp;$G146)</f>
        <v>Yes</v>
      </c>
      <c r="E146" s="308" t="str">
        <f t="shared" si="6"/>
        <v>Yes</v>
      </c>
      <c r="F146" s="305" t="str">
        <f t="shared" ca="1" si="7"/>
        <v>HP_</v>
      </c>
      <c r="G146" s="305" t="str">
        <f t="shared" ca="1" si="8"/>
        <v>B96</v>
      </c>
      <c r="H146" s="305" t="str">
        <f t="shared" ca="1" si="9"/>
        <v>HP_1!B96</v>
      </c>
    </row>
    <row r="147" spans="1:8">
      <c r="A147" s="304" t="str">
        <f>HP_1!A100</f>
        <v>Coefficient of Performance</v>
      </c>
      <c r="B147" s="316">
        <f>HP_1!B100</f>
        <v>3.2</v>
      </c>
      <c r="C147" s="311" cm="1">
        <f t="array" aca="1" ref="C147" ca="1">INDIRECT($F147&amp;C$90&amp;"!"&amp;$G147)</f>
        <v>3.2</v>
      </c>
      <c r="D147" s="311" cm="1">
        <f t="array" aca="1" ref="D147" ca="1">INDIRECT($F147&amp;D$90&amp;"!"&amp;$G147)</f>
        <v>3.2</v>
      </c>
      <c r="E147" s="310">
        <f t="shared" si="6"/>
        <v>3.2</v>
      </c>
      <c r="F147" s="305" t="str">
        <f t="shared" ca="1" si="7"/>
        <v>HP_</v>
      </c>
      <c r="G147" s="305" t="str">
        <f t="shared" ca="1" si="8"/>
        <v>B100</v>
      </c>
      <c r="H147" s="305" t="str">
        <f t="shared" ca="1" si="9"/>
        <v>HP_1!B100</v>
      </c>
    </row>
    <row r="148" spans="1:8">
      <c r="A148" s="304" t="str">
        <f>HP_1!A101</f>
        <v>Reference Hot Water Temperature</v>
      </c>
      <c r="B148" s="316">
        <f>HP_1!B101</f>
        <v>54</v>
      </c>
      <c r="C148" s="311" cm="1">
        <f t="array" aca="1" ref="C148" ca="1">INDIRECT($F148&amp;C$90&amp;"!"&amp;$G148)</f>
        <v>54</v>
      </c>
      <c r="D148" s="311" cm="1">
        <f t="array" aca="1" ref="D148" ca="1">INDIRECT($F148&amp;D$90&amp;"!"&amp;$G148)</f>
        <v>54</v>
      </c>
      <c r="E148" s="310">
        <f t="shared" ref="E148:E176" si="10">VLOOKUP(A148,A148:D148,$K$1+1,FALSE)</f>
        <v>54</v>
      </c>
      <c r="F148" s="305" t="str">
        <f t="shared" ref="F148:F176" ca="1" si="11">LEFT(H148,FIND("1",H148)-1)</f>
        <v>HP_</v>
      </c>
      <c r="G148" s="305" t="str">
        <f t="shared" ref="G148:G176" ca="1" si="12">RIGHT(H148,LEN(H148)-FIND("!",H148))</f>
        <v>B101</v>
      </c>
      <c r="H148" s="305" t="str">
        <f t="shared" ref="H148:H176" ca="1" si="13">SUBSTITUTE( _xlfn.FORMULATEXT(B148),"=","")</f>
        <v>HP_1!B101</v>
      </c>
    </row>
    <row r="149" spans="1:8">
      <c r="A149" s="304" t="str">
        <f>HP_1!A102</f>
        <v xml:space="preserve">Heating Capacity DHW </v>
      </c>
      <c r="B149" s="316">
        <f>HP_1!B102</f>
        <v>7</v>
      </c>
      <c r="C149" s="311" cm="1">
        <f t="array" aca="1" ref="C149" ca="1">INDIRECT($F149&amp;C$90&amp;"!"&amp;$G149)</f>
        <v>7</v>
      </c>
      <c r="D149" s="311" cm="1">
        <f t="array" aca="1" ref="D149" ca="1">INDIRECT($F149&amp;D$90&amp;"!"&amp;$G149)</f>
        <v>7</v>
      </c>
      <c r="E149" s="310">
        <f t="shared" si="10"/>
        <v>7</v>
      </c>
      <c r="F149" s="305" t="str">
        <f t="shared" ca="1" si="11"/>
        <v>HP_</v>
      </c>
      <c r="G149" s="305" t="str">
        <f t="shared" ca="1" si="12"/>
        <v>B102</v>
      </c>
      <c r="H149" s="305" t="str">
        <f t="shared" ca="1" si="13"/>
        <v>HP_1!B102</v>
      </c>
    </row>
    <row r="150" spans="1:8">
      <c r="A150" s="304">
        <f>HP_1!A103</f>
        <v>0</v>
      </c>
      <c r="B150" s="316">
        <f>HP_1!B103</f>
        <v>0</v>
      </c>
      <c r="C150" s="311" cm="1">
        <f t="array" aca="1" ref="C150" ca="1">INDIRECT($F150&amp;C$90&amp;"!"&amp;$G150)</f>
        <v>0</v>
      </c>
      <c r="D150" s="311" cm="1">
        <f t="array" aca="1" ref="D150" ca="1">INDIRECT($F150&amp;D$90&amp;"!"&amp;$G150)</f>
        <v>0</v>
      </c>
      <c r="E150" s="310">
        <f t="shared" si="10"/>
        <v>0</v>
      </c>
      <c r="F150" s="305" t="str">
        <f t="shared" ca="1" si="11"/>
        <v>HP_</v>
      </c>
      <c r="G150" s="305" t="str">
        <f t="shared" ca="1" si="12"/>
        <v>B103</v>
      </c>
      <c r="H150" s="305" t="str">
        <f t="shared" ca="1" si="13"/>
        <v>HP_1!B103</v>
      </c>
    </row>
    <row r="151" spans="1:8" ht="24">
      <c r="A151" s="304" t="str">
        <f>HP_1!A104</f>
        <v>Results: See DEAP Entries tab for detail on results for use in DEAP</v>
      </c>
      <c r="B151" s="316">
        <f>HP_1!B104</f>
        <v>0</v>
      </c>
      <c r="C151" s="311" cm="1">
        <f t="array" aca="1" ref="C151" ca="1">INDIRECT($F151&amp;C$90&amp;"!"&amp;$G151)</f>
        <v>0</v>
      </c>
      <c r="D151" s="311" cm="1">
        <f t="array" aca="1" ref="D151" ca="1">INDIRECT($F151&amp;D$90&amp;"!"&amp;$G151)</f>
        <v>0</v>
      </c>
      <c r="E151" s="310">
        <f t="shared" si="10"/>
        <v>0</v>
      </c>
      <c r="F151" s="305" t="str">
        <f t="shared" ca="1" si="11"/>
        <v>HP_</v>
      </c>
      <c r="G151" s="305" t="str">
        <f t="shared" ca="1" si="12"/>
        <v>B104</v>
      </c>
      <c r="H151" s="305" t="str">
        <f t="shared" ca="1" si="13"/>
        <v>HP_1!B104</v>
      </c>
    </row>
    <row r="152" spans="1:8">
      <c r="A152" s="304" t="str">
        <f>HP_1!A105</f>
        <v>Results</v>
      </c>
      <c r="B152" s="316">
        <f>HP_1!B105</f>
        <v>0</v>
      </c>
      <c r="C152" s="311" cm="1">
        <f t="array" aca="1" ref="C152" ca="1">INDIRECT($F152&amp;C$90&amp;"!"&amp;$G152)</f>
        <v>0</v>
      </c>
      <c r="D152" s="311" cm="1">
        <f t="array" aca="1" ref="D152" ca="1">INDIRECT($F152&amp;D$90&amp;"!"&amp;$G152)</f>
        <v>0</v>
      </c>
      <c r="E152" s="310">
        <f t="shared" si="10"/>
        <v>0</v>
      </c>
      <c r="F152" s="305" t="str">
        <f t="shared" ca="1" si="11"/>
        <v>HP_</v>
      </c>
      <c r="G152" s="305" t="str">
        <f t="shared" ca="1" si="12"/>
        <v>B105</v>
      </c>
      <c r="H152" s="305" t="str">
        <f t="shared" ca="1" si="13"/>
        <v>HP_1!B105</v>
      </c>
    </row>
    <row r="153" spans="1:8">
      <c r="A153" s="304" t="str">
        <f>HP_1!A106</f>
        <v>Efficiency of Main Heating System</v>
      </c>
      <c r="B153" s="316" t="e">
        <f>HP_1!B106</f>
        <v>#DIV/0!</v>
      </c>
      <c r="C153" s="311" t="e" cm="1">
        <f t="array" aca="1" ref="C153" ca="1">INDIRECT($F153&amp;C$90&amp;"!"&amp;$G153)</f>
        <v>#VALUE!</v>
      </c>
      <c r="D153" s="311" t="e" cm="1">
        <f t="array" aca="1" ref="D153" ca="1">INDIRECT($F153&amp;D$90&amp;"!"&amp;$G153)</f>
        <v>#VALUE!</v>
      </c>
      <c r="E153" s="310" t="e">
        <f t="shared" si="10"/>
        <v>#DIV/0!</v>
      </c>
      <c r="F153" s="305" t="str">
        <f t="shared" ca="1" si="11"/>
        <v>HP_</v>
      </c>
      <c r="G153" s="305" t="str">
        <f t="shared" ca="1" si="12"/>
        <v>B106</v>
      </c>
      <c r="H153" s="305" t="str">
        <f t="shared" ca="1" si="13"/>
        <v>HP_1!B106</v>
      </c>
    </row>
    <row r="154" spans="1:8">
      <c r="A154" s="304" t="str">
        <f>HP_1!A107</f>
        <v>Efficiency Adjustment Factor - Main Heating</v>
      </c>
      <c r="B154" s="316">
        <f>HP_1!B107</f>
        <v>1</v>
      </c>
      <c r="C154" s="311" cm="1">
        <f t="array" aca="1" ref="C154" ca="1">INDIRECT($F154&amp;C$90&amp;"!"&amp;$G154)</f>
        <v>1</v>
      </c>
      <c r="D154" s="311" cm="1">
        <f t="array" aca="1" ref="D154" ca="1">INDIRECT($F154&amp;D$90&amp;"!"&amp;$G154)</f>
        <v>1</v>
      </c>
      <c r="E154" s="310">
        <f t="shared" si="10"/>
        <v>1</v>
      </c>
      <c r="F154" s="305" t="str">
        <f t="shared" ca="1" si="11"/>
        <v>HP_</v>
      </c>
      <c r="G154" s="305" t="str">
        <f t="shared" ca="1" si="12"/>
        <v>B107</v>
      </c>
      <c r="H154" s="305" t="str">
        <f t="shared" ca="1" si="13"/>
        <v>HP_1!B107</v>
      </c>
    </row>
    <row r="155" spans="1:8">
      <c r="A155" s="304" t="str">
        <f>HP_1!A108</f>
        <v>Efficiency of Main Hot Water System</v>
      </c>
      <c r="B155" s="316" t="e">
        <f>HP_1!B108</f>
        <v>#DIV/0!</v>
      </c>
      <c r="C155" s="311" t="e" cm="1">
        <f t="array" aca="1" ref="C155" ca="1">INDIRECT($F155&amp;C$90&amp;"!"&amp;$G155)</f>
        <v>#DIV/0!</v>
      </c>
      <c r="D155" s="311" t="e" cm="1">
        <f t="array" aca="1" ref="D155" ca="1">INDIRECT($F155&amp;D$90&amp;"!"&amp;$G155)</f>
        <v>#DIV/0!</v>
      </c>
      <c r="E155" s="310" t="e">
        <f t="shared" si="10"/>
        <v>#DIV/0!</v>
      </c>
      <c r="F155" s="305" t="str">
        <f t="shared" ca="1" si="11"/>
        <v>HP_</v>
      </c>
      <c r="G155" s="305" t="str">
        <f t="shared" ca="1" si="12"/>
        <v>B108</v>
      </c>
      <c r="H155" s="305" t="str">
        <f t="shared" ca="1" si="13"/>
        <v>HP_1!B108</v>
      </c>
    </row>
    <row r="156" spans="1:8" ht="24">
      <c r="A156" s="304" t="str">
        <f>HP_1!A109</f>
        <v>Efficiency Adjustment Factor - Main Hot Water</v>
      </c>
      <c r="B156" s="316">
        <f>HP_1!B109</f>
        <v>1</v>
      </c>
      <c r="C156" s="311" cm="1">
        <f t="array" aca="1" ref="C156" ca="1">INDIRECT($F156&amp;C$90&amp;"!"&amp;$G156)</f>
        <v>1</v>
      </c>
      <c r="D156" s="311" cm="1">
        <f t="array" aca="1" ref="D156" ca="1">INDIRECT($F156&amp;D$90&amp;"!"&amp;$G156)</f>
        <v>1</v>
      </c>
      <c r="E156" s="310">
        <f t="shared" si="10"/>
        <v>1</v>
      </c>
      <c r="F156" s="305" t="str">
        <f t="shared" ca="1" si="11"/>
        <v>HP_</v>
      </c>
      <c r="G156" s="305" t="str">
        <f t="shared" ca="1" si="12"/>
        <v>B109</v>
      </c>
      <c r="H156" s="305" t="str">
        <f t="shared" ca="1" si="13"/>
        <v>HP_1!B109</v>
      </c>
    </row>
    <row r="157" spans="1:8">
      <c r="A157" s="304">
        <f>HP_1!A110</f>
        <v>0</v>
      </c>
      <c r="B157" s="316">
        <f>HP_1!B110</f>
        <v>0</v>
      </c>
      <c r="C157" s="311" cm="1">
        <f t="array" aca="1" ref="C157" ca="1">INDIRECT($F157&amp;C$90&amp;"!"&amp;$G157)</f>
        <v>0</v>
      </c>
      <c r="D157" s="311" cm="1">
        <f t="array" aca="1" ref="D157" ca="1">INDIRECT($F157&amp;D$90&amp;"!"&amp;$G157)</f>
        <v>0</v>
      </c>
      <c r="E157" s="310">
        <f t="shared" si="10"/>
        <v>0</v>
      </c>
      <c r="F157" s="305" t="str">
        <f t="shared" ca="1" si="11"/>
        <v>HP_</v>
      </c>
      <c r="G157" s="305" t="str">
        <f t="shared" ca="1" si="12"/>
        <v>B110</v>
      </c>
      <c r="H157" s="305" t="str">
        <f t="shared" ca="1" si="13"/>
        <v>HP_1!B110</v>
      </c>
    </row>
    <row r="158" spans="1:8" ht="24">
      <c r="A158" s="304" t="str">
        <f>HP_1!A111</f>
        <v>% Renewable Contribution from Exhaust Heat Pump for Space Heating</v>
      </c>
      <c r="B158" s="316">
        <f>HP_1!B111</f>
        <v>1</v>
      </c>
      <c r="C158" s="311" cm="1">
        <f t="array" aca="1" ref="C158" ca="1">INDIRECT($F158&amp;C$90&amp;"!"&amp;$G158)</f>
        <v>1</v>
      </c>
      <c r="D158" s="311" cm="1">
        <f t="array" aca="1" ref="D158" ca="1">INDIRECT($F158&amp;D$90&amp;"!"&amp;$G158)</f>
        <v>1</v>
      </c>
      <c r="E158" s="310">
        <f t="shared" si="10"/>
        <v>1</v>
      </c>
      <c r="F158" s="305" t="str">
        <f t="shared" ca="1" si="11"/>
        <v>HP_</v>
      </c>
      <c r="G158" s="305" t="str">
        <f t="shared" ca="1" si="12"/>
        <v>B111</v>
      </c>
      <c r="H158" s="305" t="str">
        <f t="shared" ca="1" si="13"/>
        <v>HP_1!B111</v>
      </c>
    </row>
    <row r="159" spans="1:8" ht="24">
      <c r="A159" s="304" t="str">
        <f>HP_1!A112</f>
        <v>% Renewable Contribution from Exhaust Heat Pump for Water Heating</v>
      </c>
      <c r="B159" s="316">
        <f>HP_1!B112</f>
        <v>1</v>
      </c>
      <c r="C159" s="311" cm="1">
        <f t="array" aca="1" ref="C159" ca="1">INDIRECT($F159&amp;C$90&amp;"!"&amp;$G159)</f>
        <v>1</v>
      </c>
      <c r="D159" s="311" cm="1">
        <f t="array" aca="1" ref="D159" ca="1">INDIRECT($F159&amp;D$90&amp;"!"&amp;$G159)</f>
        <v>1</v>
      </c>
      <c r="E159" s="310">
        <f t="shared" si="10"/>
        <v>1</v>
      </c>
      <c r="F159" s="305" t="str">
        <f t="shared" ca="1" si="11"/>
        <v>HP_</v>
      </c>
      <c r="G159" s="305" t="str">
        <f t="shared" ca="1" si="12"/>
        <v>B112</v>
      </c>
      <c r="H159" s="305" t="str">
        <f t="shared" ca="1" si="13"/>
        <v>HP_1!B112</v>
      </c>
    </row>
    <row r="160" spans="1:8">
      <c r="A160" s="304">
        <f>HP_1!A113</f>
        <v>0</v>
      </c>
      <c r="B160" s="316">
        <f>HP_1!B113</f>
        <v>0</v>
      </c>
      <c r="C160" s="311" cm="1">
        <f t="array" aca="1" ref="C160" ca="1">INDIRECT($F160&amp;C$90&amp;"!"&amp;$G160)</f>
        <v>0</v>
      </c>
      <c r="D160" s="311" cm="1">
        <f t="array" aca="1" ref="D160" ca="1">INDIRECT($F160&amp;D$90&amp;"!"&amp;$G160)</f>
        <v>0</v>
      </c>
      <c r="E160" s="310">
        <f t="shared" si="10"/>
        <v>0</v>
      </c>
      <c r="F160" s="305" t="str">
        <f t="shared" ca="1" si="11"/>
        <v>HP_</v>
      </c>
      <c r="G160" s="305" t="str">
        <f t="shared" ca="1" si="12"/>
        <v>B113</v>
      </c>
      <c r="H160" s="305" t="str">
        <f t="shared" ca="1" si="13"/>
        <v>HP_1!B113</v>
      </c>
    </row>
    <row r="161" spans="1:8">
      <c r="A161" s="304">
        <f>HP_1!A114</f>
        <v>0</v>
      </c>
      <c r="B161" s="316">
        <f>HP_1!B114</f>
        <v>0</v>
      </c>
      <c r="C161" s="311" cm="1">
        <f t="array" aca="1" ref="C161" ca="1">INDIRECT($F161&amp;C$90&amp;"!"&amp;$G161)</f>
        <v>0</v>
      </c>
      <c r="D161" s="311" cm="1">
        <f t="array" aca="1" ref="D161" ca="1">INDIRECT($F161&amp;D$90&amp;"!"&amp;$G161)</f>
        <v>0</v>
      </c>
      <c r="E161" s="310">
        <f t="shared" si="10"/>
        <v>0</v>
      </c>
      <c r="F161" s="305" t="str">
        <f t="shared" ca="1" si="11"/>
        <v>HP_</v>
      </c>
      <c r="G161" s="305" t="str">
        <f t="shared" ca="1" si="12"/>
        <v>B114</v>
      </c>
      <c r="H161" s="305" t="str">
        <f t="shared" ca="1" si="13"/>
        <v>HP_1!B114</v>
      </c>
    </row>
    <row r="162" spans="1:8">
      <c r="A162" s="304" t="str">
        <f>HP_1!A115</f>
        <v>% of space heating Provided by Heat Pump</v>
      </c>
      <c r="B162" s="316" t="e">
        <f>HP_1!B115</f>
        <v>#DIV/0!</v>
      </c>
      <c r="C162" s="311" t="e" cm="1">
        <f t="array" aca="1" ref="C162" ca="1">INDIRECT($F162&amp;C$90&amp;"!"&amp;$G162)</f>
        <v>#VALUE!</v>
      </c>
      <c r="D162" s="311" t="e" cm="1">
        <f t="array" aca="1" ref="D162" ca="1">INDIRECT($F162&amp;D$90&amp;"!"&amp;$G162)</f>
        <v>#VALUE!</v>
      </c>
      <c r="E162" s="310" t="e">
        <f t="shared" si="10"/>
        <v>#DIV/0!</v>
      </c>
      <c r="F162" s="305" t="str">
        <f t="shared" ca="1" si="11"/>
        <v>HP_</v>
      </c>
      <c r="G162" s="305" t="str">
        <f t="shared" ca="1" si="12"/>
        <v>B115</v>
      </c>
      <c r="H162" s="305" t="str">
        <f t="shared" ca="1" si="13"/>
        <v>HP_1!B115</v>
      </c>
    </row>
    <row r="163" spans="1:8">
      <c r="A163" s="304" t="str">
        <f>HP_1!A116</f>
        <v>% of Hot Water Provided by Heat Pump</v>
      </c>
      <c r="B163" s="316" t="e">
        <f>HP_1!B116</f>
        <v>#VALUE!</v>
      </c>
      <c r="C163" s="311" cm="1">
        <f t="array" aca="1" ref="C163" ca="1">INDIRECT($F163&amp;C$90&amp;"!"&amp;$G163)</f>
        <v>-0.18181818181818188</v>
      </c>
      <c r="D163" s="311" cm="1">
        <f t="array" aca="1" ref="D163" ca="1">INDIRECT($F163&amp;D$90&amp;"!"&amp;$G163)</f>
        <v>-0.18181818181818188</v>
      </c>
      <c r="E163" s="310" t="e">
        <f t="shared" si="10"/>
        <v>#VALUE!</v>
      </c>
      <c r="F163" s="305" t="str">
        <f t="shared" ca="1" si="11"/>
        <v>HP_</v>
      </c>
      <c r="G163" s="305" t="str">
        <f t="shared" ca="1" si="12"/>
        <v>B116</v>
      </c>
      <c r="H163" s="305" t="str">
        <f t="shared" ca="1" si="13"/>
        <v>HP_1!B116</v>
      </c>
    </row>
    <row r="164" spans="1:8">
      <c r="A164" s="304">
        <f>HP_1!A117</f>
        <v>0</v>
      </c>
      <c r="B164" s="316">
        <f>HP_1!B117</f>
        <v>0</v>
      </c>
      <c r="C164" s="311" cm="1">
        <f t="array" aca="1" ref="C164" ca="1">INDIRECT($F164&amp;C$90&amp;"!"&amp;$G164)</f>
        <v>0</v>
      </c>
      <c r="D164" s="311" cm="1">
        <f t="array" aca="1" ref="D164" ca="1">INDIRECT($F164&amp;D$90&amp;"!"&amp;$G164)</f>
        <v>0</v>
      </c>
      <c r="E164" s="310">
        <f t="shared" si="10"/>
        <v>0</v>
      </c>
      <c r="F164" s="305" t="str">
        <f t="shared" ca="1" si="11"/>
        <v>HP_</v>
      </c>
      <c r="G164" s="305" t="str">
        <f t="shared" ca="1" si="12"/>
        <v>B117</v>
      </c>
      <c r="H164" s="305" t="str">
        <f t="shared" ca="1" si="13"/>
        <v>HP_1!B117</v>
      </c>
    </row>
    <row r="165" spans="1:8" ht="24">
      <c r="A165" s="304" t="str">
        <f>HP_1!A118</f>
        <v>Calculated environmental energy in this dwelling</v>
      </c>
      <c r="B165" s="316">
        <f>HP_1!B118</f>
        <v>0</v>
      </c>
      <c r="C165" s="311" cm="1">
        <f t="array" aca="1" ref="C165" ca="1">INDIRECT($F165&amp;C$90&amp;"!"&amp;$G165)</f>
        <v>0</v>
      </c>
      <c r="D165" s="311" cm="1">
        <f t="array" aca="1" ref="D165" ca="1">INDIRECT($F165&amp;D$90&amp;"!"&amp;$G165)</f>
        <v>0</v>
      </c>
      <c r="E165" s="310">
        <f t="shared" si="10"/>
        <v>0</v>
      </c>
      <c r="F165" s="305" t="str">
        <f t="shared" ca="1" si="11"/>
        <v>HP_</v>
      </c>
      <c r="G165" s="305" t="str">
        <f t="shared" ca="1" si="12"/>
        <v>B118</v>
      </c>
      <c r="H165" s="305" t="str">
        <f t="shared" ca="1" si="13"/>
        <v>HP_1!B118</v>
      </c>
    </row>
    <row r="166" spans="1:8">
      <c r="A166" s="304">
        <f>HP_1!A119</f>
        <v>0</v>
      </c>
      <c r="B166" s="316">
        <f>HP_1!B119</f>
        <v>0</v>
      </c>
      <c r="C166" s="311" cm="1">
        <f t="array" aca="1" ref="C166" ca="1">INDIRECT($F166&amp;C$90&amp;"!"&amp;$G166)</f>
        <v>0</v>
      </c>
      <c r="D166" s="311" cm="1">
        <f t="array" aca="1" ref="D166" ca="1">INDIRECT($F166&amp;D$90&amp;"!"&amp;$G166)</f>
        <v>0</v>
      </c>
      <c r="E166" s="310">
        <f t="shared" si="10"/>
        <v>0</v>
      </c>
      <c r="F166" s="305" t="str">
        <f t="shared" ca="1" si="11"/>
        <v>HP_</v>
      </c>
      <c r="G166" s="305" t="str">
        <f t="shared" ca="1" si="12"/>
        <v>B119</v>
      </c>
      <c r="H166" s="305" t="str">
        <f t="shared" ca="1" si="13"/>
        <v>HP_1!B119</v>
      </c>
    </row>
    <row r="167" spans="1:8" ht="36">
      <c r="A167" s="304" t="str">
        <f>HP_1!A120</f>
        <v>Heat pump standalone without backup (not accounting for Exhaust adjustment)</v>
      </c>
      <c r="B167" s="316" t="str">
        <f>HP_1!B120</f>
        <v>Heat Pump Efficiency</v>
      </c>
      <c r="C167" s="311" t="str" cm="1">
        <f t="array" aca="1" ref="C167" ca="1">INDIRECT($F167&amp;C$90&amp;"!"&amp;$G167)</f>
        <v>Heat Pump Efficiency</v>
      </c>
      <c r="D167" s="311" t="str" cm="1">
        <f t="array" aca="1" ref="D167" ca="1">INDIRECT($F167&amp;D$90&amp;"!"&amp;$G167)</f>
        <v>Heat Pump Efficiency</v>
      </c>
      <c r="E167" s="310" t="str">
        <f t="shared" si="10"/>
        <v>Heat Pump Efficiency</v>
      </c>
      <c r="F167" s="305" t="str">
        <f t="shared" ca="1" si="11"/>
        <v>HP_</v>
      </c>
      <c r="G167" s="305" t="str">
        <f t="shared" ca="1" si="12"/>
        <v>B120</v>
      </c>
      <c r="H167" s="305" t="str">
        <f t="shared" ca="1" si="13"/>
        <v>HP_1!B120</v>
      </c>
    </row>
    <row r="168" spans="1:8">
      <c r="A168" s="304" t="str">
        <f>HP_1!A121</f>
        <v>Space heating</v>
      </c>
      <c r="B168" s="316" t="e">
        <f>HP_1!B121</f>
        <v>#DIV/0!</v>
      </c>
      <c r="C168" s="311" t="e" cm="1">
        <f t="array" aca="1" ref="C168" ca="1">INDIRECT($F168&amp;C$90&amp;"!"&amp;$G168)</f>
        <v>#VALUE!</v>
      </c>
      <c r="D168" s="311" t="e" cm="1">
        <f t="array" aca="1" ref="D168" ca="1">INDIRECT($F168&amp;D$90&amp;"!"&amp;$G168)</f>
        <v>#VALUE!</v>
      </c>
      <c r="E168" s="310" t="e">
        <f t="shared" si="10"/>
        <v>#DIV/0!</v>
      </c>
      <c r="F168" s="305" t="str">
        <f t="shared" ca="1" si="11"/>
        <v>HP_</v>
      </c>
      <c r="G168" s="305" t="str">
        <f t="shared" ca="1" si="12"/>
        <v>B121</v>
      </c>
      <c r="H168" s="305" t="str">
        <f t="shared" ca="1" si="13"/>
        <v>HP_1!B121</v>
      </c>
    </row>
    <row r="169" spans="1:8">
      <c r="A169" s="304" t="str">
        <f>HP_1!A122</f>
        <v>Water heating</v>
      </c>
      <c r="B169" s="316">
        <f>HP_1!B122</f>
        <v>0</v>
      </c>
      <c r="C169" s="311" cm="1">
        <f t="array" aca="1" ref="C169" ca="1">INDIRECT($F169&amp;C$90&amp;"!"&amp;$G169)</f>
        <v>0</v>
      </c>
      <c r="D169" s="311" cm="1">
        <f t="array" aca="1" ref="D169" ca="1">INDIRECT($F169&amp;D$90&amp;"!"&amp;$G169)</f>
        <v>0</v>
      </c>
      <c r="E169" s="310">
        <f t="shared" si="10"/>
        <v>0</v>
      </c>
      <c r="F169" s="305" t="str">
        <f t="shared" ca="1" si="11"/>
        <v>HP_</v>
      </c>
      <c r="G169" s="305" t="str">
        <f t="shared" ca="1" si="12"/>
        <v>B122</v>
      </c>
      <c r="H169" s="305" t="str">
        <f t="shared" ca="1" si="13"/>
        <v>HP_1!B122</v>
      </c>
    </row>
    <row r="170" spans="1:8" ht="36">
      <c r="A170" s="304" t="str">
        <f>HP_1!A123</f>
        <v>Heat pump with backup (not accounting for Exhaust adjustment)</v>
      </c>
      <c r="B170" s="316" t="str">
        <f>HP_1!B123</f>
        <v>Heat Pump Efficiency</v>
      </c>
      <c r="C170" s="311" t="str" cm="1">
        <f t="array" aca="1" ref="C170" ca="1">INDIRECT($F170&amp;C$90&amp;"!"&amp;$G170)</f>
        <v>Heat Pump Efficiency</v>
      </c>
      <c r="D170" s="311" t="str" cm="1">
        <f t="array" aca="1" ref="D170" ca="1">INDIRECT($F170&amp;D$90&amp;"!"&amp;$G170)</f>
        <v>Heat Pump Efficiency</v>
      </c>
      <c r="E170" s="310" t="str">
        <f t="shared" si="10"/>
        <v>Heat Pump Efficiency</v>
      </c>
      <c r="F170" s="305" t="str">
        <f t="shared" ca="1" si="11"/>
        <v>HP_</v>
      </c>
      <c r="G170" s="305" t="str">
        <f t="shared" ca="1" si="12"/>
        <v>B123</v>
      </c>
      <c r="H170" s="305" t="str">
        <f t="shared" ca="1" si="13"/>
        <v>HP_1!B123</v>
      </c>
    </row>
    <row r="171" spans="1:8">
      <c r="A171" s="304" t="str">
        <f>HP_1!A124</f>
        <v>Space heating</v>
      </c>
      <c r="B171" s="316" t="e">
        <f>HP_1!B124</f>
        <v>#DIV/0!</v>
      </c>
      <c r="C171" s="311" t="e" cm="1">
        <f t="array" aca="1" ref="C171" ca="1">INDIRECT($F171&amp;C$90&amp;"!"&amp;$G171)</f>
        <v>#VALUE!</v>
      </c>
      <c r="D171" s="311" t="e" cm="1">
        <f t="array" aca="1" ref="D171" ca="1">INDIRECT($F171&amp;D$90&amp;"!"&amp;$G171)</f>
        <v>#VALUE!</v>
      </c>
      <c r="E171" s="310" t="e">
        <f t="shared" si="10"/>
        <v>#DIV/0!</v>
      </c>
      <c r="F171" s="305" t="str">
        <f t="shared" ca="1" si="11"/>
        <v>HP_</v>
      </c>
      <c r="G171" s="305" t="str">
        <f t="shared" ca="1" si="12"/>
        <v>B124</v>
      </c>
      <c r="H171" s="305" t="str">
        <f t="shared" ca="1" si="13"/>
        <v>HP_1!B124</v>
      </c>
    </row>
    <row r="172" spans="1:8">
      <c r="A172" s="304" t="str">
        <f>HP_1!A125</f>
        <v>Water heating</v>
      </c>
      <c r="B172" s="316" t="e">
        <f>HP_1!B125</f>
        <v>#DIV/0!</v>
      </c>
      <c r="C172" s="311" t="e" cm="1">
        <f t="array" aca="1" ref="C172" ca="1">INDIRECT($F172&amp;C$90&amp;"!"&amp;$G172)</f>
        <v>#DIV/0!</v>
      </c>
      <c r="D172" s="311" t="e" cm="1">
        <f t="array" aca="1" ref="D172" ca="1">INDIRECT($F172&amp;D$90&amp;"!"&amp;$G172)</f>
        <v>#DIV/0!</v>
      </c>
      <c r="E172" s="310" t="e">
        <f t="shared" si="10"/>
        <v>#DIV/0!</v>
      </c>
      <c r="F172" s="305" t="str">
        <f t="shared" ca="1" si="11"/>
        <v>HP_</v>
      </c>
      <c r="G172" s="305" t="str">
        <f t="shared" ca="1" si="12"/>
        <v>B125</v>
      </c>
      <c r="H172" s="305" t="str">
        <f t="shared" ca="1" si="13"/>
        <v>HP_1!B125</v>
      </c>
    </row>
    <row r="173" spans="1:8" ht="36">
      <c r="A173" s="304" t="str">
        <f>HP_1!A126</f>
        <v>Additional renewable contribution when discounting backup</v>
      </c>
      <c r="B173" s="316" t="str">
        <f>HP_1!B126</f>
        <v>Adjustment due to backup</v>
      </c>
      <c r="C173" s="311" t="str" cm="1">
        <f t="array" aca="1" ref="C173" ca="1">INDIRECT($F173&amp;C$90&amp;"!"&amp;$G173)</f>
        <v>Adjustment due to backup</v>
      </c>
      <c r="D173" s="311" t="str" cm="1">
        <f t="array" aca="1" ref="D173" ca="1">INDIRECT($F173&amp;D$90&amp;"!"&amp;$G173)</f>
        <v>Adjustment due to backup</v>
      </c>
      <c r="E173" s="310" t="str">
        <f t="shared" si="10"/>
        <v>Adjustment due to backup</v>
      </c>
      <c r="F173" s="305" t="str">
        <f t="shared" ca="1" si="11"/>
        <v>HP_</v>
      </c>
      <c r="G173" s="305" t="str">
        <f t="shared" ca="1" si="12"/>
        <v>B126</v>
      </c>
      <c r="H173" s="305" t="str">
        <f t="shared" ca="1" si="13"/>
        <v>HP_1!B126</v>
      </c>
    </row>
    <row r="174" spans="1:8">
      <c r="A174" s="304" t="str">
        <f>HP_1!A127</f>
        <v>Space heating</v>
      </c>
      <c r="B174" s="316" t="e">
        <f>HP_1!B127</f>
        <v>#DIV/0!</v>
      </c>
      <c r="C174" s="311" t="e" cm="1">
        <f t="array" aca="1" ref="C174" ca="1">INDIRECT($F174&amp;C$90&amp;"!"&amp;$G174)</f>
        <v>#VALUE!</v>
      </c>
      <c r="D174" s="311" t="e" cm="1">
        <f t="array" aca="1" ref="D174" ca="1">INDIRECT($F174&amp;D$90&amp;"!"&amp;$G174)</f>
        <v>#VALUE!</v>
      </c>
      <c r="E174" s="310" t="e">
        <f t="shared" si="10"/>
        <v>#DIV/0!</v>
      </c>
      <c r="F174" s="305" t="str">
        <f t="shared" ca="1" si="11"/>
        <v>HP_</v>
      </c>
      <c r="G174" s="305" t="str">
        <f t="shared" ca="1" si="12"/>
        <v>B127</v>
      </c>
      <c r="H174" s="305" t="str">
        <f t="shared" ca="1" si="13"/>
        <v>HP_1!B127</v>
      </c>
    </row>
    <row r="175" spans="1:8">
      <c r="A175" s="304" t="str">
        <f>HP_1!A128</f>
        <v>Water heating</v>
      </c>
      <c r="B175" s="316" t="e">
        <f>HP_1!B128</f>
        <v>#DIV/0!</v>
      </c>
      <c r="C175" s="311" t="e" cm="1">
        <f t="array" aca="1" ref="C175" ca="1">INDIRECT($F175&amp;C$90&amp;"!"&amp;$G175)</f>
        <v>#DIV/0!</v>
      </c>
      <c r="D175" s="311" t="e" cm="1">
        <f t="array" aca="1" ref="D175" ca="1">INDIRECT($F175&amp;D$90&amp;"!"&amp;$G175)</f>
        <v>#DIV/0!</v>
      </c>
      <c r="E175" s="310" t="e">
        <f t="shared" si="10"/>
        <v>#DIV/0!</v>
      </c>
      <c r="F175" s="305" t="str">
        <f t="shared" ca="1" si="11"/>
        <v>HP_</v>
      </c>
      <c r="G175" s="305" t="str">
        <f t="shared" ca="1" si="12"/>
        <v>B128</v>
      </c>
      <c r="H175" s="305" t="str">
        <f t="shared" ca="1" si="13"/>
        <v>HP_1!B128</v>
      </c>
    </row>
    <row r="176" spans="1:8">
      <c r="A176" s="304" t="str">
        <f>HP_1!G111</f>
        <v>Exhaust Air Flow Rate (m3/hr)</v>
      </c>
      <c r="B176" s="316">
        <f>HP_1!G112</f>
        <v>0</v>
      </c>
      <c r="C176" s="311" cm="1">
        <f t="array" aca="1" ref="C176" ca="1">INDIRECT($F176&amp;C$90&amp;"!"&amp;$G176)</f>
        <v>0</v>
      </c>
      <c r="D176" s="311" cm="1">
        <f t="array" aca="1" ref="D176" ca="1">INDIRECT($F176&amp;D$90&amp;"!"&amp;$G176)</f>
        <v>0</v>
      </c>
      <c r="E176" s="310">
        <f t="shared" si="10"/>
        <v>0</v>
      </c>
      <c r="F176" s="305" t="str">
        <f t="shared" ca="1" si="11"/>
        <v>HP_</v>
      </c>
      <c r="G176" s="305" t="str">
        <f t="shared" ca="1" si="12"/>
        <v>G112</v>
      </c>
      <c r="H176" s="305" t="str">
        <f t="shared" ca="1" si="13"/>
        <v>HP_1!G112</v>
      </c>
    </row>
    <row r="177" spans="1:8">
      <c r="A177" s="304" t="str">
        <f>HP_1!A187</f>
        <v>DEAP Entries Captured Data</v>
      </c>
      <c r="B177" s="316">
        <f>HP_1!B187</f>
        <v>0</v>
      </c>
      <c r="C177" s="311" cm="1">
        <f t="array" aca="1" ref="C177" ca="1">INDIRECT($F177&amp;C$90&amp;"!"&amp;$G177)</f>
        <v>0</v>
      </c>
      <c r="D177" s="311" cm="1">
        <f t="array" aca="1" ref="D177" ca="1">INDIRECT($F177&amp;D$90&amp;"!"&amp;$G177)</f>
        <v>0</v>
      </c>
      <c r="E177" s="310">
        <f t="shared" ref="E177:E185" si="14">VLOOKUP(A177,A177:D177,$K$1+1,FALSE)</f>
        <v>0</v>
      </c>
      <c r="F177" s="305" t="str">
        <f t="shared" ref="F177:F185" ca="1" si="15">LEFT(H177,FIND("1",H177)-1)</f>
        <v>HP_</v>
      </c>
      <c r="G177" s="305" t="str">
        <f t="shared" ref="G177:G185" ca="1" si="16">RIGHT(H177,LEN(H177)-FIND("!",H177))</f>
        <v>B187</v>
      </c>
      <c r="H177" s="305" t="str">
        <f t="shared" ref="H177:H185" ca="1" si="17">SUBSTITUTE( _xlfn.FORMULATEXT(B177),"=","")</f>
        <v>HP_1!B187</v>
      </c>
    </row>
    <row r="178" spans="1:8" ht="24">
      <c r="A178" s="304" t="str">
        <f>HP_1!A188</f>
        <v>Description:</v>
      </c>
      <c r="B178" s="316" t="str">
        <f>HP_1!B188</f>
        <v>Heat pump # 1</v>
      </c>
      <c r="C178" s="311" t="str" cm="1">
        <f t="array" aca="1" ref="C178" ca="1">INDIRECT($F178&amp;C$90&amp;"!"&amp;$G178)</f>
        <v>Heat pump # 1</v>
      </c>
      <c r="D178" s="311" t="str" cm="1">
        <f t="array" aca="1" ref="D178" ca="1">INDIRECT($F178&amp;D$90&amp;"!"&amp;$G178)</f>
        <v>Heat pump # 1</v>
      </c>
      <c r="E178" s="310" t="str">
        <f t="shared" si="14"/>
        <v>Heat pump # 1</v>
      </c>
      <c r="F178" s="305" t="str">
        <f t="shared" ca="1" si="15"/>
        <v>HP_</v>
      </c>
      <c r="G178" s="305" t="str">
        <f t="shared" ca="1" si="16"/>
        <v>B188</v>
      </c>
      <c r="H178" s="305" t="str">
        <f t="shared" ca="1" si="17"/>
        <v>HP_1!B188</v>
      </c>
    </row>
    <row r="179" spans="1:8" ht="24">
      <c r="A179" s="304" t="str">
        <f>HP_1!A189</f>
        <v>Type of space heating heat pump</v>
      </c>
      <c r="B179" s="316" t="str">
        <f>HP_1!B189</f>
        <v>Heat Pump</v>
      </c>
      <c r="C179" s="311" t="str" cm="1">
        <f t="array" aca="1" ref="C179" ca="1">INDIRECT($F179&amp;C$90&amp;"!"&amp;$G179)</f>
        <v>Heat Pump</v>
      </c>
      <c r="D179" s="311" t="str" cm="1">
        <f t="array" aca="1" ref="D179" ca="1">INDIRECT($F179&amp;D$90&amp;"!"&amp;$G179)</f>
        <v>Heat Pump</v>
      </c>
      <c r="E179" s="310" t="str">
        <f t="shared" si="14"/>
        <v>Heat Pump</v>
      </c>
      <c r="F179" s="305" t="str">
        <f t="shared" ca="1" si="15"/>
        <v>HP_</v>
      </c>
      <c r="G179" s="305" t="str">
        <f t="shared" ca="1" si="16"/>
        <v>B189</v>
      </c>
      <c r="H179" s="305" t="str">
        <f t="shared" ca="1" si="17"/>
        <v>HP_1!B189</v>
      </c>
    </row>
    <row r="180" spans="1:8" ht="24">
      <c r="A180" s="304" t="str">
        <f>HP_1!A190</f>
        <v>Type of water heating heat pump</v>
      </c>
      <c r="B180" s="316" t="str">
        <f>HP_1!B190</f>
        <v>Heat Pump</v>
      </c>
      <c r="C180" s="311" t="str" cm="1">
        <f t="array" aca="1" ref="C180" ca="1">INDIRECT($F180&amp;C$90&amp;"!"&amp;$G180)</f>
        <v>Heat Pump</v>
      </c>
      <c r="D180" s="311" t="str" cm="1">
        <f t="array" aca="1" ref="D180" ca="1">INDIRECT($F180&amp;D$90&amp;"!"&amp;$G180)</f>
        <v>Heat Pump</v>
      </c>
      <c r="E180" s="310" t="str">
        <f t="shared" si="14"/>
        <v>Heat Pump</v>
      </c>
      <c r="F180" s="305" t="str">
        <f t="shared" ca="1" si="15"/>
        <v>HP_</v>
      </c>
      <c r="G180" s="305" t="str">
        <f t="shared" ca="1" si="16"/>
        <v>B190</v>
      </c>
      <c r="H180" s="305" t="str">
        <f t="shared" ca="1" si="17"/>
        <v>HP_1!B190</v>
      </c>
    </row>
    <row r="181" spans="1:8" ht="24">
      <c r="A181" s="304" t="str">
        <f>HP_1!A191</f>
        <v xml:space="preserve">% main space heat provided by each heat pump  based on system design </v>
      </c>
      <c r="B181" s="316">
        <f>HP_1!B191</f>
        <v>1</v>
      </c>
      <c r="C181" s="311" cm="1">
        <f t="array" aca="1" ref="C181" ca="1">INDIRECT($F181&amp;C$90&amp;"!"&amp;$G181)</f>
        <v>1</v>
      </c>
      <c r="D181" s="311" cm="1">
        <f t="array" aca="1" ref="D181" ca="1">INDIRECT($F181&amp;D$90&amp;"!"&amp;$G181)</f>
        <v>1</v>
      </c>
      <c r="E181" s="310">
        <f t="shared" si="14"/>
        <v>1</v>
      </c>
      <c r="F181" s="305" t="str">
        <f t="shared" ca="1" si="15"/>
        <v>HP_</v>
      </c>
      <c r="G181" s="305" t="str">
        <f t="shared" ca="1" si="16"/>
        <v>B191</v>
      </c>
      <c r="H181" s="305" t="str">
        <f t="shared" ca="1" si="17"/>
        <v>HP_1!B191</v>
      </c>
    </row>
    <row r="182" spans="1:8" ht="24">
      <c r="A182" s="304" t="str">
        <f>HP_1!A192</f>
        <v xml:space="preserve">% main water heat provided by each heat pump  based on system design </v>
      </c>
      <c r="B182" s="316">
        <f>HP_1!B192</f>
        <v>1</v>
      </c>
      <c r="C182" s="311" cm="1">
        <f t="array" aca="1" ref="C182" ca="1">INDIRECT($F182&amp;C$90&amp;"!"&amp;$G182)</f>
        <v>1</v>
      </c>
      <c r="D182" s="311" cm="1">
        <f t="array" aca="1" ref="D182" ca="1">INDIRECT($F182&amp;D$90&amp;"!"&amp;$G182)</f>
        <v>1</v>
      </c>
      <c r="E182" s="310">
        <f t="shared" si="14"/>
        <v>1</v>
      </c>
      <c r="F182" s="305" t="str">
        <f t="shared" ca="1" si="15"/>
        <v>HP_</v>
      </c>
      <c r="G182" s="305" t="str">
        <f t="shared" ca="1" si="16"/>
        <v>B192</v>
      </c>
      <c r="H182" s="305" t="str">
        <f t="shared" ca="1" si="17"/>
        <v>HP_1!B192</v>
      </c>
    </row>
    <row r="183" spans="1:8">
      <c r="A183" s="304" t="str">
        <f>HP_1!A193</f>
        <v>Is heat pump source preconditioned?</v>
      </c>
      <c r="B183" s="316" t="str">
        <f>HP_1!B193</f>
        <v>No</v>
      </c>
      <c r="C183" s="311" t="str" cm="1">
        <f t="array" aca="1" ref="C183" ca="1">INDIRECT($F183&amp;C$90&amp;"!"&amp;$G183)</f>
        <v>No</v>
      </c>
      <c r="D183" s="311" t="str" cm="1">
        <f t="array" aca="1" ref="D183" ca="1">INDIRECT($F183&amp;D$90&amp;"!"&amp;$G183)</f>
        <v>No</v>
      </c>
      <c r="E183" s="310" t="str">
        <f t="shared" si="14"/>
        <v>No</v>
      </c>
      <c r="F183" s="305" t="str">
        <f t="shared" ca="1" si="15"/>
        <v>HP_</v>
      </c>
      <c r="G183" s="305" t="str">
        <f t="shared" ca="1" si="16"/>
        <v>B193</v>
      </c>
      <c r="H183" s="305" t="str">
        <f t="shared" ca="1" si="17"/>
        <v>HP_1!B193</v>
      </c>
    </row>
    <row r="184" spans="1:8" ht="24">
      <c r="A184" s="304" t="str">
        <f>HP_1!A194</f>
        <v>Is the Heat Pump part of a Group Heating Scheme</v>
      </c>
      <c r="B184" s="316" t="str">
        <f>HP_1!B194</f>
        <v>Yes</v>
      </c>
      <c r="C184" s="311" t="str" cm="1">
        <f t="array" aca="1" ref="C184" ca="1">INDIRECT($F184&amp;C$90&amp;"!"&amp;$G184)</f>
        <v>Yes</v>
      </c>
      <c r="D184" s="311" t="str" cm="1">
        <f t="array" aca="1" ref="D184" ca="1">INDIRECT($F184&amp;D$90&amp;"!"&amp;$G184)</f>
        <v>Yes</v>
      </c>
      <c r="E184" s="310" t="str">
        <f t="shared" si="14"/>
        <v>Yes</v>
      </c>
      <c r="F184" s="305" t="str">
        <f t="shared" ca="1" si="15"/>
        <v>HP_</v>
      </c>
      <c r="G184" s="305" t="str">
        <f t="shared" ca="1" si="16"/>
        <v>B194</v>
      </c>
      <c r="H184" s="305" t="str">
        <f t="shared" ca="1" si="17"/>
        <v>HP_1!B194</v>
      </c>
    </row>
    <row r="185" spans="1:8" ht="24">
      <c r="A185" s="304" t="str">
        <f>HP_1!A195</f>
        <v>If "Exhaust Air Heat Pump(s)" what is the total exhaust Air Flow Rate</v>
      </c>
      <c r="B185" s="316">
        <f>HP_1!B195</f>
        <v>0</v>
      </c>
      <c r="C185" s="311" cm="1">
        <f t="array" aca="1" ref="C185" ca="1">INDIRECT($F185&amp;C$90&amp;"!"&amp;$G185)</f>
        <v>0</v>
      </c>
      <c r="D185" s="311" cm="1">
        <f t="array" aca="1" ref="D185" ca="1">INDIRECT($F185&amp;D$90&amp;"!"&amp;$G185)</f>
        <v>0</v>
      </c>
      <c r="E185" s="310">
        <f t="shared" si="14"/>
        <v>0</v>
      </c>
      <c r="F185" s="305" t="str">
        <f t="shared" ca="1" si="15"/>
        <v>HP_</v>
      </c>
      <c r="G185" s="305" t="str">
        <f t="shared" ca="1" si="16"/>
        <v>B195</v>
      </c>
      <c r="H185" s="305" t="str">
        <f t="shared" ca="1" si="17"/>
        <v>HP_1!B195</v>
      </c>
    </row>
  </sheetData>
  <sheetProtection algorithmName="SHA-512" hashValue="qxWBMWhootmCRJcxYvcrOpEFSMrWvgel7liCE8dUSXpMos5QGMNQF+Qtl2ULy5qbTU5n/i1y/+d7UIfV4omvnA==" saltValue="b4U14/F64Ij0JZr5dmYrrg==" spinCount="100000" sheet="1" objects="1" scenarios="1"/>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3C06-2155-4027-8B26-73693C3F1F58}">
  <dimension ref="A1:V185"/>
  <sheetViews>
    <sheetView workbookViewId="0">
      <selection activeCell="G17" sqref="G17"/>
    </sheetView>
  </sheetViews>
  <sheetFormatPr defaultColWidth="9.140625" defaultRowHeight="12.75"/>
  <cols>
    <col min="1" max="1" width="35.5703125" customWidth="1"/>
    <col min="2" max="2" width="29.5703125" customWidth="1"/>
    <col min="5" max="5" width="29.5703125" customWidth="1"/>
    <col min="10" max="10" width="16.140625" bestFit="1" customWidth="1"/>
    <col min="12" max="12" width="23" bestFit="1" customWidth="1"/>
    <col min="13" max="13" width="18.42578125" customWidth="1"/>
    <col min="16" max="16" width="13.5703125" customWidth="1"/>
    <col min="21" max="21" width="23.42578125" customWidth="1"/>
    <col min="22" max="22" width="17.42578125" customWidth="1"/>
  </cols>
  <sheetData>
    <row r="1" spans="1:22" ht="18.75" thickBot="1">
      <c r="A1" t="s">
        <v>23</v>
      </c>
      <c r="J1" s="258" t="s">
        <v>200</v>
      </c>
      <c r="K1" s="259">
        <v>2</v>
      </c>
      <c r="M1" s="32"/>
      <c r="N1" s="32"/>
      <c r="P1" t="s">
        <v>589</v>
      </c>
    </row>
    <row r="2" spans="1:22" ht="15.75">
      <c r="A2" s="1" t="s">
        <v>590</v>
      </c>
      <c r="M2" s="32"/>
      <c r="P2" t="s">
        <v>591</v>
      </c>
      <c r="Q2" t="s">
        <v>373</v>
      </c>
      <c r="S2" s="84" t="s">
        <v>592</v>
      </c>
      <c r="T2" s="84" t="s">
        <v>593</v>
      </c>
      <c r="U2" t="s">
        <v>594</v>
      </c>
      <c r="V2" t="s">
        <v>595</v>
      </c>
    </row>
    <row r="3" spans="1:22" ht="15.75">
      <c r="A3" t="s">
        <v>596</v>
      </c>
      <c r="B3" s="317">
        <f ca="1">E141</f>
        <v>0</v>
      </c>
      <c r="E3" t="s">
        <v>597</v>
      </c>
      <c r="M3" s="32"/>
      <c r="P3" t="s">
        <v>213</v>
      </c>
      <c r="Q3">
        <v>0.34499999999999997</v>
      </c>
      <c r="R3">
        <v>7</v>
      </c>
      <c r="S3" s="85" t="s">
        <v>23</v>
      </c>
      <c r="T3" s="85" t="s">
        <v>23</v>
      </c>
      <c r="U3" s="84">
        <f ca="1">IF(E94="Yes",0,IF($B$6=P3,IF($B$3&gt;R3,1,0),0))</f>
        <v>0</v>
      </c>
      <c r="V3" s="84">
        <f ca="1">IF(E94="Yes",0,IF($B$6=P3,IF(E127&gt;R3,1,0),0))</f>
        <v>0</v>
      </c>
    </row>
    <row r="4" spans="1:22" ht="15.75">
      <c r="A4" t="s">
        <v>598</v>
      </c>
      <c r="B4" s="317">
        <f ca="1">E126</f>
        <v>65</v>
      </c>
      <c r="C4" t="s">
        <v>599</v>
      </c>
      <c r="M4" s="32"/>
      <c r="P4" t="s">
        <v>226</v>
      </c>
      <c r="Q4">
        <v>2.1</v>
      </c>
      <c r="R4">
        <v>15</v>
      </c>
      <c r="S4" s="85" t="s">
        <v>23</v>
      </c>
      <c r="T4" s="85" t="s">
        <v>23</v>
      </c>
      <c r="U4" s="84">
        <f ca="1">IF(E94="Yes",0,IF($B$6=P4,IF($B$3&gt;R4,1,0),0))</f>
        <v>0</v>
      </c>
      <c r="V4" s="84">
        <f ca="1">IF(E94="Yes",0,IF($B$6=P4,IF(E127&gt;R4,1,0),0))</f>
        <v>0</v>
      </c>
    </row>
    <row r="5" spans="1:22">
      <c r="A5" t="s">
        <v>600</v>
      </c>
      <c r="B5" s="317">
        <f ca="1">E140</f>
        <v>0</v>
      </c>
      <c r="C5" t="s">
        <v>373</v>
      </c>
      <c r="E5" t="s">
        <v>597</v>
      </c>
      <c r="P5" t="s">
        <v>237</v>
      </c>
      <c r="Q5">
        <v>2.1</v>
      </c>
      <c r="R5">
        <v>15</v>
      </c>
      <c r="S5" s="85" t="s">
        <v>23</v>
      </c>
      <c r="T5" s="85" t="s">
        <v>23</v>
      </c>
      <c r="U5" s="84">
        <f ca="1">IF(E94="Yes",0,IF($B$6=P5,IF($B$3&gt;R5,1,0),0))</f>
        <v>0</v>
      </c>
      <c r="V5" s="84">
        <f ca="1">IF(E94="Yes",0,IF($B$6=P5,IF(E127&gt;R5,1,0),0))</f>
        <v>0</v>
      </c>
    </row>
    <row r="6" spans="1:22">
      <c r="A6" t="s">
        <v>371</v>
      </c>
      <c r="B6" s="319" t="str">
        <f ca="1">E139</f>
        <v>M</v>
      </c>
      <c r="P6" t="s">
        <v>247</v>
      </c>
      <c r="Q6">
        <v>2.1</v>
      </c>
      <c r="R6">
        <v>36</v>
      </c>
      <c r="S6" s="85" t="s">
        <v>23</v>
      </c>
      <c r="T6" s="85" t="s">
        <v>23</v>
      </c>
      <c r="U6" s="84">
        <f ca="1">IF(E94="Yes",0,IF($B$6=P6,IF($B$3&gt;R6,1,0),0))</f>
        <v>0</v>
      </c>
      <c r="V6" s="84">
        <f ca="1">IF(E94="Yes",0,IF($B$6=P6,IF(E127&gt;R6,1,0),0))</f>
        <v>0</v>
      </c>
    </row>
    <row r="7" spans="1:22">
      <c r="A7" t="s">
        <v>601</v>
      </c>
      <c r="B7">
        <f ca="1">VLOOKUP(B6,P3:R13,3,)</f>
        <v>65</v>
      </c>
      <c r="C7" t="s">
        <v>376</v>
      </c>
      <c r="E7" t="s">
        <v>23</v>
      </c>
      <c r="G7" s="86" t="s">
        <v>23</v>
      </c>
      <c r="M7" s="84"/>
      <c r="P7" t="s">
        <v>254</v>
      </c>
      <c r="Q7">
        <v>5.8449999999999998</v>
      </c>
      <c r="R7">
        <v>65</v>
      </c>
      <c r="S7" s="3">
        <f t="shared" ref="S7:S12" ca="1" si="0">R7/(($E$136-10)/30)</f>
        <v>-195</v>
      </c>
      <c r="T7" s="3">
        <f t="shared" ref="T7:T12" si="1">R7/((60-10)/30)</f>
        <v>39</v>
      </c>
      <c r="U7" s="84">
        <f ca="1">IF(E94="Yes",0,IF($B$6=P7,IF($B$3&lt;S7,1,0),0))</f>
        <v>0</v>
      </c>
      <c r="V7" s="84">
        <f ca="1">IF(E94="Yes",0,IF($B$6=P7,IF(E127&lt;T7,1,0),0))</f>
        <v>1</v>
      </c>
    </row>
    <row r="8" spans="1:22">
      <c r="A8" t="s">
        <v>602</v>
      </c>
      <c r="B8">
        <f ca="1">VLOOKUP(B6,P3:Q13,2,)</f>
        <v>5.8449999999999998</v>
      </c>
      <c r="C8" t="s">
        <v>373</v>
      </c>
      <c r="E8" t="s">
        <v>603</v>
      </c>
      <c r="P8" t="s">
        <v>258</v>
      </c>
      <c r="Q8">
        <v>11.654999999999999</v>
      </c>
      <c r="R8">
        <v>130</v>
      </c>
      <c r="S8" s="3">
        <f t="shared" ca="1" si="0"/>
        <v>-390</v>
      </c>
      <c r="T8" s="3">
        <f t="shared" si="1"/>
        <v>78</v>
      </c>
      <c r="U8" s="84">
        <f ca="1">IF(E94="Yes",0,IF($B$6=P8,IF($B$3&lt;S8,1,0),0))</f>
        <v>0</v>
      </c>
      <c r="V8" s="84">
        <f ca="1">IF(E94="Yes",0,IF($B$6=P8,IF(E127&lt;T8,1,0),0))</f>
        <v>0</v>
      </c>
    </row>
    <row r="9" spans="1:22">
      <c r="A9" s="84" t="str">
        <f ca="1">"COP based on "&amp;E122</f>
        <v>COP based on I.S. EN 16147</v>
      </c>
      <c r="B9" s="318">
        <f ca="1">E135</f>
        <v>0</v>
      </c>
      <c r="P9" t="s">
        <v>263</v>
      </c>
      <c r="Q9">
        <v>19.07</v>
      </c>
      <c r="R9">
        <v>210</v>
      </c>
      <c r="S9" s="3">
        <f t="shared" ca="1" si="0"/>
        <v>-630</v>
      </c>
      <c r="T9" s="3">
        <f t="shared" si="1"/>
        <v>126</v>
      </c>
      <c r="U9" s="84">
        <f ca="1">IF(E94="Yes",0,IF($B$6=P9,IF($B$3&lt;S9,1,0),0))</f>
        <v>0</v>
      </c>
      <c r="V9" s="84">
        <f ca="1">IF(E94="Yes",0,IF($B$6=P9,IF(E127&lt;T9,1,0),0))</f>
        <v>0</v>
      </c>
    </row>
    <row r="10" spans="1:22">
      <c r="A10" t="s">
        <v>368</v>
      </c>
      <c r="B10" s="317">
        <f ca="1">E138</f>
        <v>0</v>
      </c>
      <c r="C10" t="s">
        <v>369</v>
      </c>
      <c r="P10" t="s">
        <v>269</v>
      </c>
      <c r="Q10">
        <v>24.53</v>
      </c>
      <c r="R10">
        <v>300</v>
      </c>
      <c r="S10" s="3">
        <f t="shared" ca="1" si="0"/>
        <v>-900</v>
      </c>
      <c r="T10" s="3">
        <f t="shared" si="1"/>
        <v>180</v>
      </c>
      <c r="U10" s="84">
        <f ca="1">IF(E94="Yes",0,IF($B$6=P10,IF($B$3&lt;S10,1,0),0))</f>
        <v>0</v>
      </c>
      <c r="V10" s="84">
        <f ca="1">IF(E94="Yes",0,IF($B$6=P10,IF(E127&lt;T10,1,0),0))</f>
        <v>0</v>
      </c>
    </row>
    <row r="11" spans="1:22">
      <c r="A11" t="s">
        <v>23</v>
      </c>
      <c r="P11" t="s">
        <v>273</v>
      </c>
      <c r="Q11">
        <v>46.76</v>
      </c>
      <c r="R11">
        <v>520</v>
      </c>
      <c r="S11" s="3">
        <f t="shared" ca="1" si="0"/>
        <v>-1560</v>
      </c>
      <c r="T11" s="3">
        <f t="shared" si="1"/>
        <v>312</v>
      </c>
      <c r="U11" s="84">
        <f ca="1">IF(E94="Yes",0,IF($B$6=P11,IF($B$3&lt;S11,1,0),0))</f>
        <v>0</v>
      </c>
      <c r="V11" s="84">
        <f ca="1">IF(E94="Yes",0,IF($B$6=P11,IF(E127&lt;T11,1,0),0))</f>
        <v>0</v>
      </c>
    </row>
    <row r="12" spans="1:22">
      <c r="A12" t="s">
        <v>604</v>
      </c>
      <c r="B12" s="3">
        <f ca="1">IF(E122="I.S. EN 14825/14511",B9,B9*(1+B5/B8))</f>
        <v>0</v>
      </c>
      <c r="E12" s="84" t="s">
        <v>605</v>
      </c>
      <c r="P12" t="s">
        <v>277</v>
      </c>
      <c r="Q12">
        <v>93.52</v>
      </c>
      <c r="R12">
        <v>1040</v>
      </c>
      <c r="S12" s="3">
        <f t="shared" ca="1" si="0"/>
        <v>-3120</v>
      </c>
      <c r="T12" s="3">
        <f t="shared" si="1"/>
        <v>624</v>
      </c>
      <c r="U12" s="84">
        <f ca="1">IF(E94="Yes",0,IF($B$6=P12,IF($B$3&lt;S12,1,0),0))</f>
        <v>0</v>
      </c>
      <c r="V12" s="84">
        <f ca="1">IF(E94="Yes",0,IF($B$6=P12,IF(E127&lt;T12,1,0),0))</f>
        <v>0</v>
      </c>
    </row>
    <row r="13" spans="1:22">
      <c r="P13">
        <v>0</v>
      </c>
    </row>
    <row r="14" spans="1:22" ht="14.25">
      <c r="A14" t="s">
        <v>606</v>
      </c>
      <c r="B14" s="317">
        <f ca="1">E136</f>
        <v>0</v>
      </c>
      <c r="C14" s="84" t="s">
        <v>607</v>
      </c>
      <c r="U14">
        <f ca="1">IF($E$122="I.S. EN 14825/14511",0,SUM(U3:U13))</f>
        <v>0</v>
      </c>
      <c r="V14">
        <f ca="1">IF($E$122="I.S. EN 14825/14511",0,SUM(V3:V13))</f>
        <v>1</v>
      </c>
    </row>
    <row r="15" spans="1:22" ht="14.25">
      <c r="A15" t="s">
        <v>608</v>
      </c>
      <c r="B15" s="317">
        <f ca="1">IF(E122="I.S. EN 14825/14511",B14,E126)</f>
        <v>65</v>
      </c>
      <c r="C15" s="84" t="s">
        <v>607</v>
      </c>
    </row>
    <row r="16" spans="1:22" ht="14.25">
      <c r="A16" t="s">
        <v>609</v>
      </c>
      <c r="B16" s="317">
        <f ca="1">E125</f>
        <v>10</v>
      </c>
      <c r="C16" s="84" t="s">
        <v>607</v>
      </c>
      <c r="M16" s="84"/>
      <c r="P16" t="s">
        <v>23</v>
      </c>
      <c r="U16" s="84" t="s">
        <v>610</v>
      </c>
      <c r="V16" s="84" t="s">
        <v>611</v>
      </c>
    </row>
    <row r="17" spans="1:21" ht="25.5">
      <c r="A17" s="88" t="s">
        <v>612</v>
      </c>
      <c r="B17" s="3">
        <f ca="1">(B15-B14)/(B15-B16)</f>
        <v>1.1818181818181819</v>
      </c>
    </row>
    <row r="18" spans="1:21">
      <c r="U18" s="88" t="s">
        <v>23</v>
      </c>
    </row>
    <row r="19" spans="1:21">
      <c r="A19" t="s">
        <v>613</v>
      </c>
      <c r="B19">
        <f ca="1">IF(E94="No",E123,((E123*E97)/E96))</f>
        <v>0</v>
      </c>
      <c r="C19" t="s">
        <v>92</v>
      </c>
      <c r="I19" s="2"/>
    </row>
    <row r="20" spans="1:21">
      <c r="A20" t="s">
        <v>614</v>
      </c>
      <c r="B20" s="3" t="e">
        <f ca="1">B19/B10</f>
        <v>#DIV/0!</v>
      </c>
      <c r="C20" s="84" t="s">
        <v>313</v>
      </c>
      <c r="M20" s="84"/>
    </row>
    <row r="21" spans="1:21">
      <c r="A21" s="84" t="s">
        <v>615</v>
      </c>
      <c r="B21" s="3">
        <f ca="1">8760*((24-E112)/24)</f>
        <v>2920</v>
      </c>
      <c r="C21" s="84" t="s">
        <v>313</v>
      </c>
      <c r="E21" s="84" t="s">
        <v>616</v>
      </c>
      <c r="M21" s="84"/>
    </row>
    <row r="22" spans="1:21">
      <c r="A22" t="s">
        <v>617</v>
      </c>
      <c r="B22" s="3" t="e">
        <f ca="1">IF((B20-B21)&lt;0,0,(B20-B21))</f>
        <v>#DIV/0!</v>
      </c>
    </row>
    <row r="23" spans="1:21" ht="25.5">
      <c r="A23" s="88" t="s">
        <v>618</v>
      </c>
      <c r="B23" s="3" t="e">
        <f ca="1">(B22*B10)/B19</f>
        <v>#DIV/0!</v>
      </c>
      <c r="M23" s="84"/>
    </row>
    <row r="25" spans="1:21">
      <c r="A25" s="84" t="s">
        <v>619</v>
      </c>
      <c r="B25" s="2" t="e">
        <f ca="1">(B19*(1-B17-B23))/B12</f>
        <v>#DIV/0!</v>
      </c>
      <c r="C25" t="s">
        <v>92</v>
      </c>
      <c r="M25" s="84"/>
    </row>
    <row r="26" spans="1:21">
      <c r="A26" t="s">
        <v>620</v>
      </c>
      <c r="B26" s="2">
        <f ca="1">(B19*B17)/E132</f>
        <v>0</v>
      </c>
      <c r="C26" t="s">
        <v>92</v>
      </c>
      <c r="E26" s="84" t="s">
        <v>621</v>
      </c>
    </row>
    <row r="27" spans="1:21">
      <c r="A27" t="s">
        <v>622</v>
      </c>
      <c r="B27" s="2" t="e">
        <f ca="1">(B19*B23)/E132</f>
        <v>#DIV/0!</v>
      </c>
      <c r="C27" t="s">
        <v>92</v>
      </c>
      <c r="E27" s="84" t="s">
        <v>621</v>
      </c>
    </row>
    <row r="28" spans="1:21">
      <c r="A28" s="84" t="s">
        <v>623</v>
      </c>
      <c r="B28" s="2" t="e">
        <f ca="1">SUM(B25:B27)</f>
        <v>#DIV/0!</v>
      </c>
      <c r="C28" t="s">
        <v>92</v>
      </c>
    </row>
    <row r="30" spans="1:21">
      <c r="A30" s="84" t="s">
        <v>624</v>
      </c>
      <c r="B30" s="89" t="e">
        <f ca="1">B19/B28</f>
        <v>#DIV/0!</v>
      </c>
      <c r="M30" s="84"/>
    </row>
    <row r="31" spans="1:21">
      <c r="F31" s="2"/>
    </row>
    <row r="32" spans="1:21">
      <c r="A32" t="s">
        <v>576</v>
      </c>
      <c r="B32" s="97" t="e">
        <f ca="1">B34-B25</f>
        <v>#DIV/0!</v>
      </c>
      <c r="C32" t="s">
        <v>92</v>
      </c>
    </row>
    <row r="34" spans="1:14">
      <c r="A34" t="s">
        <v>625</v>
      </c>
      <c r="B34" s="87" t="e">
        <f ca="1">B19*(1-B17-B23)</f>
        <v>#DIV/0!</v>
      </c>
      <c r="C34" t="s">
        <v>92</v>
      </c>
    </row>
    <row r="36" spans="1:14">
      <c r="A36" s="84" t="s">
        <v>580</v>
      </c>
      <c r="B36" s="98">
        <f ca="1">IF(LEFT(E119,7)="Exhaust",(B10*(1-1/B9)-(E176*1.2/3600)*(20-7))/(B10*(1-1/B9)),1)</f>
        <v>1</v>
      </c>
    </row>
    <row r="37" spans="1:14">
      <c r="B37" s="85"/>
    </row>
    <row r="38" spans="1:14">
      <c r="A38" t="s">
        <v>579</v>
      </c>
      <c r="B38" s="90" t="e">
        <f ca="1">B32*B36</f>
        <v>#DIV/0!</v>
      </c>
      <c r="C38" t="s">
        <v>92</v>
      </c>
    </row>
    <row r="39" spans="1:14">
      <c r="B39" s="85"/>
      <c r="N39" s="84"/>
    </row>
    <row r="40" spans="1:14">
      <c r="D40" s="99"/>
      <c r="L40" s="92"/>
      <c r="N40" s="84"/>
    </row>
    <row r="42" spans="1:14">
      <c r="A42" s="1" t="s">
        <v>626</v>
      </c>
    </row>
    <row r="43" spans="1:14">
      <c r="A43" t="s">
        <v>613</v>
      </c>
      <c r="B43">
        <f ca="1">B19</f>
        <v>0</v>
      </c>
      <c r="C43" t="s">
        <v>92</v>
      </c>
    </row>
    <row r="44" spans="1:14">
      <c r="A44" t="s">
        <v>627</v>
      </c>
      <c r="B44" s="87">
        <f ca="1">E147</f>
        <v>3.2</v>
      </c>
    </row>
    <row r="45" spans="1:14">
      <c r="A45" t="s">
        <v>368</v>
      </c>
      <c r="B45" s="317">
        <f ca="1">E149</f>
        <v>7</v>
      </c>
      <c r="C45" t="s">
        <v>369</v>
      </c>
    </row>
    <row r="47" spans="1:14">
      <c r="A47" t="s">
        <v>606</v>
      </c>
      <c r="B47" s="317">
        <f ca="1">E148</f>
        <v>54</v>
      </c>
      <c r="C47" t="s">
        <v>599</v>
      </c>
    </row>
    <row r="48" spans="1:14">
      <c r="A48" t="s">
        <v>608</v>
      </c>
      <c r="B48" s="317">
        <f ca="1">E126</f>
        <v>65</v>
      </c>
      <c r="C48" t="s">
        <v>599</v>
      </c>
    </row>
    <row r="49" spans="1:14">
      <c r="A49" t="s">
        <v>609</v>
      </c>
      <c r="B49" s="317">
        <f ca="1">E125</f>
        <v>10</v>
      </c>
      <c r="C49" t="s">
        <v>599</v>
      </c>
    </row>
    <row r="51" spans="1:14">
      <c r="A51" t="s">
        <v>628</v>
      </c>
      <c r="B51" s="3">
        <f ca="1">IF((B48-B47)&lt;=0,0,(B48-B47)/(B48-B49))</f>
        <v>0.2</v>
      </c>
      <c r="E51" t="s">
        <v>629</v>
      </c>
      <c r="L51" s="92"/>
    </row>
    <row r="52" spans="1:14">
      <c r="L52" s="88"/>
      <c r="N52" s="84"/>
    </row>
    <row r="53" spans="1:14">
      <c r="A53" t="s">
        <v>630</v>
      </c>
      <c r="B53" s="2">
        <f ca="1">(B43*(1-B51))/B44</f>
        <v>0</v>
      </c>
      <c r="C53" t="s">
        <v>92</v>
      </c>
      <c r="N53" s="84"/>
    </row>
    <row r="54" spans="1:14">
      <c r="A54" t="s">
        <v>631</v>
      </c>
      <c r="B54" s="2">
        <f ca="1">(B43*B51)/E132</f>
        <v>0</v>
      </c>
      <c r="C54" t="s">
        <v>92</v>
      </c>
      <c r="G54" t="s">
        <v>23</v>
      </c>
      <c r="L54" s="92"/>
    </row>
    <row r="55" spans="1:14">
      <c r="A55" t="s">
        <v>632</v>
      </c>
      <c r="B55" s="2">
        <f ca="1">SUM(B53:B54)</f>
        <v>0</v>
      </c>
      <c r="C55" t="s">
        <v>92</v>
      </c>
    </row>
    <row r="57" spans="1:14">
      <c r="A57" s="84" t="s">
        <v>624</v>
      </c>
      <c r="B57" s="89" t="e">
        <f ca="1">B43/B55</f>
        <v>#DIV/0!</v>
      </c>
    </row>
    <row r="59" spans="1:14">
      <c r="A59" t="s">
        <v>576</v>
      </c>
      <c r="B59" s="90" t="e">
        <f ca="1">IF(B57&gt;2.5,(B57-2.5)*B55,0)</f>
        <v>#DIV/0!</v>
      </c>
      <c r="C59" t="s">
        <v>92</v>
      </c>
    </row>
    <row r="61" spans="1:14">
      <c r="A61" t="s">
        <v>625</v>
      </c>
      <c r="B61" s="87">
        <f ca="1">B43*(1-B51)</f>
        <v>0</v>
      </c>
      <c r="C61" t="s">
        <v>92</v>
      </c>
    </row>
    <row r="63" spans="1:14">
      <c r="A63" t="s">
        <v>633</v>
      </c>
      <c r="B63" s="91" t="e">
        <f ca="1">B61/B53</f>
        <v>#DIV/0!</v>
      </c>
    </row>
    <row r="64" spans="1:14">
      <c r="B64" s="85"/>
    </row>
    <row r="65" spans="1:14">
      <c r="A65" t="s">
        <v>579</v>
      </c>
      <c r="B65" s="90" t="e">
        <f ca="1">IF(B63&lt;2.5,0,(B63-2.5)*B53)</f>
        <v>#DIV/0!</v>
      </c>
      <c r="C65" t="s">
        <v>92</v>
      </c>
    </row>
    <row r="66" spans="1:14">
      <c r="B66" s="85"/>
    </row>
    <row r="67" spans="1:14">
      <c r="L67" s="92"/>
      <c r="N67" s="84"/>
    </row>
    <row r="70" spans="1:14">
      <c r="A70" s="1" t="s">
        <v>634</v>
      </c>
    </row>
    <row r="71" spans="1:14">
      <c r="A71" t="s">
        <v>613</v>
      </c>
      <c r="B71">
        <f ca="1">B19</f>
        <v>0</v>
      </c>
      <c r="C71" t="s">
        <v>92</v>
      </c>
    </row>
    <row r="72" spans="1:14">
      <c r="A72" t="s">
        <v>635</v>
      </c>
      <c r="B72" s="87">
        <f ca="1">E143</f>
        <v>3.33</v>
      </c>
    </row>
    <row r="73" spans="1:14">
      <c r="A73" t="s">
        <v>636</v>
      </c>
      <c r="B73" s="87">
        <f ca="1">IF(AND(E145="No",E146="Yes"),0.7,1)</f>
        <v>0.7</v>
      </c>
    </row>
    <row r="74" spans="1:14">
      <c r="A74" t="s">
        <v>23</v>
      </c>
      <c r="B74" t="s">
        <v>637</v>
      </c>
      <c r="C74" t="s">
        <v>23</v>
      </c>
    </row>
    <row r="75" spans="1:14">
      <c r="A75" s="84" t="s">
        <v>624</v>
      </c>
      <c r="B75" s="89">
        <f ca="1">IF(AND(E145="No",E146="Yes"),B72,(1/(50/(B72*100)+0.5)))</f>
        <v>3.33</v>
      </c>
      <c r="N75" s="84"/>
    </row>
    <row r="76" spans="1:14">
      <c r="A76" s="84"/>
      <c r="B76" s="3"/>
    </row>
    <row r="77" spans="1:14">
      <c r="A77" t="s">
        <v>632</v>
      </c>
      <c r="B77" s="3">
        <f ca="1">B71/B75</f>
        <v>0</v>
      </c>
      <c r="C77" t="s">
        <v>92</v>
      </c>
    </row>
    <row r="79" spans="1:14">
      <c r="A79" t="s">
        <v>576</v>
      </c>
      <c r="B79" s="90">
        <f ca="1">IF(B75&gt;2.5,(B75-2.5)*B77,0)</f>
        <v>0</v>
      </c>
      <c r="C79" t="s">
        <v>92</v>
      </c>
    </row>
    <row r="81" spans="1:14">
      <c r="A81" t="s">
        <v>625</v>
      </c>
      <c r="B81" s="87">
        <f ca="1">IF(B75=B72,B71,B71*0.5)</f>
        <v>0</v>
      </c>
      <c r="C81" t="s">
        <v>92</v>
      </c>
      <c r="E81" s="2"/>
    </row>
    <row r="83" spans="1:14">
      <c r="A83" t="s">
        <v>630</v>
      </c>
      <c r="B83">
        <f ca="1">B81/B72</f>
        <v>0</v>
      </c>
      <c r="C83" t="s">
        <v>92</v>
      </c>
    </row>
    <row r="85" spans="1:14">
      <c r="A85" t="s">
        <v>579</v>
      </c>
      <c r="B85" s="90">
        <f ca="1">IF(B72&lt;2.5,0,(B72-2.5)*B83)</f>
        <v>0</v>
      </c>
      <c r="C85" t="s">
        <v>92</v>
      </c>
      <c r="N85" s="84"/>
    </row>
    <row r="86" spans="1:14">
      <c r="B86" s="85"/>
    </row>
    <row r="87" spans="1:14">
      <c r="L87" s="92"/>
      <c r="N87" s="84"/>
    </row>
    <row r="89" spans="1:14" ht="24">
      <c r="A89" s="283" t="s">
        <v>429</v>
      </c>
      <c r="B89" s="300" t="s">
        <v>430</v>
      </c>
      <c r="C89" s="300" t="s">
        <v>431</v>
      </c>
      <c r="D89" s="300" t="s">
        <v>432</v>
      </c>
      <c r="E89" s="301"/>
      <c r="F89" s="301"/>
      <c r="G89" s="301"/>
      <c r="H89" s="301"/>
    </row>
    <row r="90" spans="1:14" ht="60">
      <c r="A90" s="302" t="s">
        <v>584</v>
      </c>
      <c r="B90" s="302" t="str">
        <f>RIGHT(B89)</f>
        <v>1</v>
      </c>
      <c r="C90" s="302" t="str">
        <f>RIGHT(C89)</f>
        <v>2</v>
      </c>
      <c r="D90" s="302" t="str">
        <f>RIGHT(D89)</f>
        <v>3</v>
      </c>
      <c r="E90" s="302" t="s">
        <v>434</v>
      </c>
      <c r="F90" s="303" t="s">
        <v>177</v>
      </c>
      <c r="G90" s="303" t="s">
        <v>178</v>
      </c>
      <c r="H90" s="303" t="s">
        <v>435</v>
      </c>
    </row>
    <row r="91" spans="1:14">
      <c r="A91" s="304" t="str">
        <f>HP_1!O12</f>
        <v>Same HP for Space and Water Heating</v>
      </c>
      <c r="B91" s="309" t="b">
        <f>HP_1!N12</f>
        <v>1</v>
      </c>
      <c r="C91" s="311" t="b" cm="1">
        <f t="array" aca="1" ref="C91" ca="1">INDIRECT($F91&amp;C$90&amp;"!"&amp;$G91)</f>
        <v>1</v>
      </c>
      <c r="D91" s="311" t="b" cm="1">
        <f t="array" aca="1" ref="D91" ca="1">INDIRECT($F91&amp;D$90&amp;"!"&amp;$G91)</f>
        <v>1</v>
      </c>
      <c r="E91" s="307" t="b">
        <f ca="1">VLOOKUP(A91,A91:D91,$K$1+1,FALSE)</f>
        <v>1</v>
      </c>
      <c r="F91" s="305" t="str">
        <f ca="1">LEFT(H91,FIND("1",H91)-1)</f>
        <v>HP_</v>
      </c>
      <c r="G91" s="305" t="str">
        <f ca="1">RIGHT(H91,LEN(H91)-FIND("!",H91))</f>
        <v>N12</v>
      </c>
      <c r="H91" s="305" t="str">
        <f ca="1">SUBSTITUTE( _xlfn.FORMULATEXT(B91),"=","")</f>
        <v>HP_1!N12</v>
      </c>
    </row>
    <row r="92" spans="1:14">
      <c r="A92" s="304" t="str">
        <f>HP_1!A3</f>
        <v>Total heat loss (W/K) taken from DEAP</v>
      </c>
      <c r="B92" s="312">
        <f>HP_1!B3</f>
        <v>0</v>
      </c>
      <c r="C92" s="311" cm="1">
        <f t="array" aca="1" ref="C92" ca="1">INDIRECT($F92&amp;C$90&amp;"!"&amp;$G92)</f>
        <v>0</v>
      </c>
      <c r="D92" s="311" cm="1">
        <f t="array" aca="1" ref="D92" ca="1">INDIRECT($F92&amp;D$90&amp;"!"&amp;$G92)</f>
        <v>0</v>
      </c>
      <c r="E92" s="306">
        <f ca="1">VLOOKUP(A92,A92:D92,$K$1+1,FALSE)</f>
        <v>0</v>
      </c>
      <c r="F92" s="305" t="str">
        <f ca="1">LEFT(H92,FIND("1",H92)-1)</f>
        <v>HP_</v>
      </c>
      <c r="G92" s="305" t="str">
        <f ca="1">RIGHT(H92,LEN(H92)-FIND("!",H92))</f>
        <v>B3</v>
      </c>
      <c r="H92" s="305" t="str">
        <f ca="1">SUBSTITUTE( _xlfn.FORMULATEXT(B92),"=","")</f>
        <v>HP_1!B3</v>
      </c>
    </row>
    <row r="93" spans="1:14" ht="48">
      <c r="A93" s="304" t="str">
        <f>HP_1!A4</f>
        <v>Heat Loss Watts</v>
      </c>
      <c r="B93" s="309" t="str">
        <f>HP_1!B4</f>
        <v>Please complete DEAPEntries tab</v>
      </c>
      <c r="C93" s="311" t="str" cm="1">
        <f t="array" aca="1" ref="C93" ca="1">INDIRECT($F93&amp;C$90&amp;"!"&amp;$G93)</f>
        <v>Please complete DEAPEntries tab</v>
      </c>
      <c r="D93" s="311" t="str" cm="1">
        <f t="array" aca="1" ref="D93" ca="1">INDIRECT($F93&amp;D$90&amp;"!"&amp;$G93)</f>
        <v>Please complete DEAPEntries tab</v>
      </c>
      <c r="E93" s="306" t="str">
        <f t="shared" ref="E93:E156" ca="1" si="2">VLOOKUP(A93,A93:D93,$K$1+1,FALSE)</f>
        <v>Please complete DEAPEntries tab</v>
      </c>
      <c r="F93" s="305" t="str">
        <f t="shared" ref="F93:F156" ca="1" si="3">LEFT(H93,FIND("1",H93)-1)</f>
        <v>HP_</v>
      </c>
      <c r="G93" s="305" t="str">
        <f t="shared" ref="G93:G156" ca="1" si="4">RIGHT(H93,LEN(H93)-FIND("!",H93))</f>
        <v>B4</v>
      </c>
      <c r="H93" s="305" t="str">
        <f t="shared" ref="H93:H156" ca="1" si="5">SUBSTITUTE( _xlfn.FORMULATEXT(B93),"=","")</f>
        <v>HP_1!B4</v>
      </c>
    </row>
    <row r="94" spans="1:14" ht="24">
      <c r="A94" s="304" t="str">
        <f>HP_1!A5</f>
        <v>Is this Heat Pump part of a Group Heating Scheme</v>
      </c>
      <c r="B94" s="309" t="str">
        <f>HP_1!B5</f>
        <v>Yes</v>
      </c>
      <c r="C94" s="311" t="str" cm="1">
        <f t="array" aca="1" ref="C94" ca="1">INDIRECT($F94&amp;C$90&amp;"!"&amp;$G94)</f>
        <v>No</v>
      </c>
      <c r="D94" s="311" t="str" cm="1">
        <f t="array" aca="1" ref="D94" ca="1">INDIRECT($F94&amp;D$90&amp;"!"&amp;$G94)</f>
        <v>No</v>
      </c>
      <c r="E94" s="307" t="str">
        <f t="shared" ca="1" si="2"/>
        <v>No</v>
      </c>
      <c r="F94" s="305" t="str">
        <f t="shared" ca="1" si="3"/>
        <v>HP_</v>
      </c>
      <c r="G94" s="305" t="str">
        <f t="shared" ca="1" si="4"/>
        <v>B5</v>
      </c>
      <c r="H94" s="305" t="str">
        <f t="shared" ca="1" si="5"/>
        <v>HP_1!B5</v>
      </c>
    </row>
    <row r="95" spans="1:14" ht="24">
      <c r="A95" s="304" t="str">
        <f>HP_1!A6</f>
        <v>Proportion of main space heating provided by this heat pump</v>
      </c>
      <c r="B95" s="309">
        <f>HP_1!B6</f>
        <v>1</v>
      </c>
      <c r="C95" s="311" cm="1">
        <f t="array" aca="1" ref="C95" ca="1">INDIRECT($F95&amp;C$90&amp;"!"&amp;$G95)</f>
        <v>0</v>
      </c>
      <c r="D95" s="311" cm="1">
        <f t="array" aca="1" ref="D95" ca="1">INDIRECT($F95&amp;D$90&amp;"!"&amp;$G95)</f>
        <v>0</v>
      </c>
      <c r="E95" s="308">
        <f t="shared" ca="1" si="2"/>
        <v>0</v>
      </c>
      <c r="F95" s="305" t="str">
        <f t="shared" ca="1" si="3"/>
        <v>HP_</v>
      </c>
      <c r="G95" s="305" t="str">
        <f t="shared" ca="1" si="4"/>
        <v>B6</v>
      </c>
      <c r="H95" s="305" t="str">
        <f t="shared" ca="1" si="5"/>
        <v>HP_1!B6</v>
      </c>
    </row>
    <row r="96" spans="1:14">
      <c r="A96" s="304" t="str">
        <f>HP_1!A7</f>
        <v>Floor Area of Dwelling</v>
      </c>
      <c r="B96" s="309">
        <f>HP_1!B7</f>
        <v>0</v>
      </c>
      <c r="C96" s="311" cm="1">
        <f t="array" aca="1" ref="C96" ca="1">INDIRECT($F96&amp;C$90&amp;"!"&amp;$G96)</f>
        <v>0</v>
      </c>
      <c r="D96" s="311" cm="1">
        <f t="array" aca="1" ref="D96" ca="1">INDIRECT($F96&amp;D$90&amp;"!"&amp;$G96)</f>
        <v>0</v>
      </c>
      <c r="E96" s="307">
        <f t="shared" ca="1" si="2"/>
        <v>0</v>
      </c>
      <c r="F96" s="305" t="str">
        <f t="shared" ca="1" si="3"/>
        <v>HP_</v>
      </c>
      <c r="G96" s="305" t="str">
        <f t="shared" ca="1" si="4"/>
        <v>B7</v>
      </c>
      <c r="H96" s="305" t="str">
        <f t="shared" ca="1" si="5"/>
        <v>HP_1!B7</v>
      </c>
    </row>
    <row r="97" spans="1:8" ht="36">
      <c r="A97" s="304" t="str">
        <f>HP_1!A8</f>
        <v>If Heat Pump serves a Group Heat Scheme, the total Floor Area served by Heat Pump is:</v>
      </c>
      <c r="B97" s="309">
        <f>HP_1!B8</f>
        <v>0</v>
      </c>
      <c r="C97" s="311" cm="1">
        <f t="array" aca="1" ref="C97" ca="1">INDIRECT($F97&amp;C$90&amp;"!"&amp;$G97)</f>
        <v>0</v>
      </c>
      <c r="D97" s="311" cm="1">
        <f t="array" aca="1" ref="D97" ca="1">INDIRECT($F97&amp;D$90&amp;"!"&amp;$G97)</f>
        <v>0</v>
      </c>
      <c r="E97" s="307">
        <f t="shared" ca="1" si="2"/>
        <v>0</v>
      </c>
      <c r="F97" s="305" t="str">
        <f t="shared" ca="1" si="3"/>
        <v>HP_</v>
      </c>
      <c r="G97" s="305" t="str">
        <f t="shared" ca="1" si="4"/>
        <v>B8</v>
      </c>
      <c r="H97" s="305" t="str">
        <f t="shared" ca="1" si="5"/>
        <v>HP_1!B8</v>
      </c>
    </row>
    <row r="98" spans="1:8" ht="24">
      <c r="A98" s="304" t="str">
        <f>HP_1!A12</f>
        <v>Type of heat pump</v>
      </c>
      <c r="B98" s="309" t="str">
        <f>HP_1!B12</f>
        <v>Air to Water</v>
      </c>
      <c r="C98" s="311" t="str" cm="1">
        <f t="array" aca="1" ref="C98" ca="1">INDIRECT($F98&amp;C$90&amp;"!"&amp;$G98)</f>
        <v>Air to Water</v>
      </c>
      <c r="D98" s="311" t="str" cm="1">
        <f t="array" aca="1" ref="D98" ca="1">INDIRECT($F98&amp;D$90&amp;"!"&amp;$G98)</f>
        <v>Air to Water</v>
      </c>
      <c r="E98" s="307" t="str">
        <f t="shared" ca="1" si="2"/>
        <v>Air to Water</v>
      </c>
      <c r="F98" s="305" t="str">
        <f t="shared" ca="1" si="3"/>
        <v>HP_</v>
      </c>
      <c r="G98" s="305" t="str">
        <f t="shared" ca="1" si="4"/>
        <v>B12</v>
      </c>
      <c r="H98" s="305" t="str">
        <f t="shared" ca="1" si="5"/>
        <v>HP_1!B12</v>
      </c>
    </row>
    <row r="99" spans="1:8" ht="36">
      <c r="A99" s="304" t="str">
        <f>HP_1!A13</f>
        <v>Temperature Control 
(refered to as Capacity Control in Ecodesign Standard Template)</v>
      </c>
      <c r="B99" s="309" t="str">
        <f>HP_1!B13</f>
        <v>Fixed Outlet</v>
      </c>
      <c r="C99" s="311" t="str" cm="1">
        <f t="array" aca="1" ref="C99" ca="1">INDIRECT($F99&amp;C$90&amp;"!"&amp;$G99)</f>
        <v>Fixed Outlet</v>
      </c>
      <c r="D99" s="311" t="str" cm="1">
        <f t="array" aca="1" ref="D99" ca="1">INDIRECT($F99&amp;D$90&amp;"!"&amp;$G99)</f>
        <v>Fixed Outlet</v>
      </c>
      <c r="E99" s="307" t="str">
        <f t="shared" ca="1" si="2"/>
        <v>Fixed Outlet</v>
      </c>
      <c r="F99" s="305" t="str">
        <f t="shared" ca="1" si="3"/>
        <v>HP_</v>
      </c>
      <c r="G99" s="305" t="str">
        <f t="shared" ca="1" si="4"/>
        <v>B13</v>
      </c>
      <c r="H99" s="305" t="str">
        <f t="shared" ca="1" si="5"/>
        <v>HP_1!B13</v>
      </c>
    </row>
    <row r="100" spans="1:8" ht="24">
      <c r="A100" s="304" t="str">
        <f>HP_1!A14</f>
        <v>Space Heating Test Standard</v>
      </c>
      <c r="B100" s="312" t="str">
        <f>HP_1!B14</f>
        <v>I.S. EN 14825</v>
      </c>
      <c r="C100" s="311" t="str" cm="1">
        <f t="array" aca="1" ref="C100" ca="1">INDIRECT($F100&amp;C$90&amp;"!"&amp;$G100)</f>
        <v>I.S. EN 14825</v>
      </c>
      <c r="D100" s="311" t="str" cm="1">
        <f t="array" aca="1" ref="D100" ca="1">INDIRECT($F100&amp;D$90&amp;"!"&amp;$G100)</f>
        <v>I.S. EN 14825</v>
      </c>
      <c r="E100" s="307" t="str">
        <f t="shared" ca="1" si="2"/>
        <v>I.S. EN 14825</v>
      </c>
      <c r="F100" s="305" t="str">
        <f t="shared" ca="1" si="3"/>
        <v>HP_</v>
      </c>
      <c r="G100" s="305" t="str">
        <f t="shared" ca="1" si="4"/>
        <v>B14</v>
      </c>
      <c r="H100" s="305" t="str">
        <f t="shared" ca="1" si="5"/>
        <v>HP_1!B14</v>
      </c>
    </row>
    <row r="101" spans="1:8">
      <c r="A101" s="304" t="str">
        <f>HP_1!A15</f>
        <v>Operation Limit Temperature (TOL)</v>
      </c>
      <c r="B101" s="313" t="str">
        <f>HP_1!B15</f>
        <v xml:space="preserve"> </v>
      </c>
      <c r="C101" s="311" cm="1">
        <f t="array" aca="1" ref="C101" ca="1">INDIRECT($F101&amp;C$90&amp;"!"&amp;$G101)</f>
        <v>0</v>
      </c>
      <c r="D101" s="311" cm="1">
        <f t="array" aca="1" ref="D101" ca="1">INDIRECT($F101&amp;D$90&amp;"!"&amp;$G101)</f>
        <v>0</v>
      </c>
      <c r="E101" s="307">
        <f t="shared" ca="1" si="2"/>
        <v>0</v>
      </c>
      <c r="F101" s="305" t="str">
        <f t="shared" ca="1" si="3"/>
        <v>HP_</v>
      </c>
      <c r="G101" s="305" t="str">
        <f t="shared" ca="1" si="4"/>
        <v>B15</v>
      </c>
      <c r="H101" s="305" t="str">
        <f t="shared" ca="1" si="5"/>
        <v>HP_1!B15</v>
      </c>
    </row>
    <row r="102" spans="1:8" ht="24">
      <c r="A102" s="304" t="str">
        <f>HP_1!A16</f>
        <v>Heating water operating limit temperature (WTOL)</v>
      </c>
      <c r="B102" s="313" t="str">
        <f>HP_1!B16</f>
        <v xml:space="preserve"> </v>
      </c>
      <c r="C102" s="311" cm="1">
        <f t="array" aca="1" ref="C102" ca="1">INDIRECT($F102&amp;C$90&amp;"!"&amp;$G102)</f>
        <v>0</v>
      </c>
      <c r="D102" s="311" cm="1">
        <f t="array" aca="1" ref="D102" ca="1">INDIRECT($F102&amp;D$90&amp;"!"&amp;$G102)</f>
        <v>0</v>
      </c>
      <c r="E102" s="307">
        <f t="shared" ca="1" si="2"/>
        <v>0</v>
      </c>
      <c r="F102" s="305" t="str">
        <f t="shared" ca="1" si="3"/>
        <v>HP_</v>
      </c>
      <c r="G102" s="305" t="str">
        <f t="shared" ca="1" si="4"/>
        <v>B16</v>
      </c>
      <c r="H102" s="305" t="str">
        <f t="shared" ca="1" si="5"/>
        <v>HP_1!B16</v>
      </c>
    </row>
    <row r="103" spans="1:8" ht="24">
      <c r="A103" s="304" t="str">
        <f>HP_1!A17</f>
        <v>Annual space heating provided by Heat Pump</v>
      </c>
      <c r="B103" s="312">
        <f>HP_1!B17</f>
        <v>0</v>
      </c>
      <c r="C103" s="311" cm="1">
        <f t="array" aca="1" ref="C103" ca="1">INDIRECT($F103&amp;C$90&amp;"!"&amp;$G103)</f>
        <v>0</v>
      </c>
      <c r="D103" s="311" cm="1">
        <f t="array" aca="1" ref="D103" ca="1">INDIRECT($F103&amp;D$90&amp;"!"&amp;$G103)</f>
        <v>0</v>
      </c>
      <c r="E103" s="306">
        <f t="shared" ca="1" si="2"/>
        <v>0</v>
      </c>
      <c r="F103" s="305" t="str">
        <f t="shared" ca="1" si="3"/>
        <v>HP_</v>
      </c>
      <c r="G103" s="305" t="str">
        <f t="shared" ca="1" si="4"/>
        <v>B17</v>
      </c>
      <c r="H103" s="305" t="str">
        <f t="shared" ca="1" si="5"/>
        <v>HP_1!B17</v>
      </c>
    </row>
    <row r="104" spans="1:8">
      <c r="A104" s="304" t="str">
        <f>HP_1!A18</f>
        <v>Design Outdoor Temperature</v>
      </c>
      <c r="B104" s="309">
        <f>HP_1!B18</f>
        <v>-3</v>
      </c>
      <c r="C104" s="311" cm="1">
        <f t="array" aca="1" ref="C104" ca="1">INDIRECT($F104&amp;C$90&amp;"!"&amp;$G104)</f>
        <v>-3</v>
      </c>
      <c r="D104" s="311" cm="1">
        <f t="array" aca="1" ref="D104" ca="1">INDIRECT($F104&amp;D$90&amp;"!"&amp;$G104)</f>
        <v>-3</v>
      </c>
      <c r="E104" s="307">
        <f t="shared" ca="1" si="2"/>
        <v>-3</v>
      </c>
      <c r="F104" s="305" t="str">
        <f t="shared" ca="1" si="3"/>
        <v>HP_</v>
      </c>
      <c r="G104" s="305" t="str">
        <f t="shared" ca="1" si="4"/>
        <v>B18</v>
      </c>
      <c r="H104" s="305" t="str">
        <f t="shared" ca="1" si="5"/>
        <v>HP_1!B18</v>
      </c>
    </row>
    <row r="105" spans="1:8" ht="60">
      <c r="A105" s="304" t="str">
        <f>HP_1!A19</f>
        <v>Indoor Design Temperature (Mean Internal Temperature)</v>
      </c>
      <c r="B105" s="314" t="str">
        <f>HP_1!B19</f>
        <v>Please complete DEAP Entries tab</v>
      </c>
      <c r="C105" s="311" t="str" cm="1">
        <f t="array" aca="1" ref="C105" ca="1">INDIRECT($F105&amp;C$90&amp;"!"&amp;$G105)</f>
        <v>Please complete DEAP Entries tab</v>
      </c>
      <c r="D105" s="311" t="str" cm="1">
        <f t="array" aca="1" ref="D105" ca="1">INDIRECT($F105&amp;D$90&amp;"!"&amp;$G105)</f>
        <v>Please complete DEAP Entries tab</v>
      </c>
      <c r="E105" s="307" t="str">
        <f t="shared" ca="1" si="2"/>
        <v>Please complete DEAP Entries tab</v>
      </c>
      <c r="F105" s="305" t="str">
        <f t="shared" ca="1" si="3"/>
        <v>HP_</v>
      </c>
      <c r="G105" s="305" t="str">
        <f t="shared" ca="1" si="4"/>
        <v>B19</v>
      </c>
      <c r="H105" s="305" t="str">
        <f t="shared" ca="1" si="5"/>
        <v>HP_1!B19</v>
      </c>
    </row>
    <row r="106" spans="1:8">
      <c r="A106" s="304" t="str">
        <f>HP_1!A24</f>
        <v>Air used as Emitter (to Air Units)</v>
      </c>
      <c r="B106" s="309" t="str">
        <f>HP_1!B24</f>
        <v>No</v>
      </c>
      <c r="C106" s="311" t="str" cm="1">
        <f t="array" aca="1" ref="C106" ca="1">INDIRECT($F106&amp;C$90&amp;"!"&amp;$G106)</f>
        <v>No</v>
      </c>
      <c r="D106" s="311" t="str" cm="1">
        <f t="array" aca="1" ref="D106" ca="1">INDIRECT($F106&amp;D$90&amp;"!"&amp;$G106)</f>
        <v>No</v>
      </c>
      <c r="E106" s="307" t="str">
        <f t="shared" ca="1" si="2"/>
        <v>No</v>
      </c>
      <c r="F106" s="305" t="str">
        <f t="shared" ca="1" si="3"/>
        <v>HP_</v>
      </c>
      <c r="G106" s="305" t="str">
        <f t="shared" ca="1" si="4"/>
        <v>B24</v>
      </c>
      <c r="H106" s="305" t="str">
        <f t="shared" ca="1" si="5"/>
        <v>HP_1!B24</v>
      </c>
    </row>
    <row r="107" spans="1:8" ht="36">
      <c r="A107" s="304" t="str">
        <f>HP_1!A25</f>
        <v>Design Flow Temperature
Use "Default Supply Temperature" unless other evidence available</v>
      </c>
      <c r="B107" s="309">
        <f>HP_1!B25</f>
        <v>0</v>
      </c>
      <c r="C107" s="311" cm="1">
        <f t="array" aca="1" ref="C107" ca="1">INDIRECT($F107&amp;C$90&amp;"!"&amp;$G107)</f>
        <v>0</v>
      </c>
      <c r="D107" s="311" cm="1">
        <f t="array" aca="1" ref="D107" ca="1">INDIRECT($F107&amp;D$90&amp;"!"&amp;$G107)</f>
        <v>0</v>
      </c>
      <c r="E107" s="307">
        <f t="shared" ca="1" si="2"/>
        <v>0</v>
      </c>
      <c r="F107" s="305" t="str">
        <f t="shared" ca="1" si="3"/>
        <v>HP_</v>
      </c>
      <c r="G107" s="305" t="str">
        <f t="shared" ca="1" si="4"/>
        <v>B25</v>
      </c>
      <c r="H107" s="305" t="str">
        <f t="shared" ca="1" si="5"/>
        <v>HP_1!B25</v>
      </c>
    </row>
    <row r="108" spans="1:8" ht="24">
      <c r="A108" s="304" t="str">
        <f>HP_1!A26</f>
        <v>Exponent n, characterising type of emission system</v>
      </c>
      <c r="B108" s="309">
        <f>HP_1!B26</f>
        <v>1.2</v>
      </c>
      <c r="C108" s="311" cm="1">
        <f t="array" aca="1" ref="C108" ca="1">INDIRECT($F108&amp;C$90&amp;"!"&amp;$G108)</f>
        <v>1.2</v>
      </c>
      <c r="D108" s="311" cm="1">
        <f t="array" aca="1" ref="D108" ca="1">INDIRECT($F108&amp;D$90&amp;"!"&amp;$G108)</f>
        <v>1.2</v>
      </c>
      <c r="E108" s="307">
        <f t="shared" ca="1" si="2"/>
        <v>1.2</v>
      </c>
      <c r="F108" s="305" t="str">
        <f t="shared" ca="1" si="3"/>
        <v>HP_</v>
      </c>
      <c r="G108" s="305" t="str">
        <f t="shared" ca="1" si="4"/>
        <v>B26</v>
      </c>
      <c r="H108" s="305" t="str">
        <f t="shared" ca="1" si="5"/>
        <v>HP_1!B26</v>
      </c>
    </row>
    <row r="109" spans="1:8">
      <c r="A109" s="304" t="str">
        <f>HP_1!A27</f>
        <v>Emitter Temperature Drop</v>
      </c>
      <c r="B109" s="309">
        <f>HP_1!B27</f>
        <v>10</v>
      </c>
      <c r="C109" s="311" cm="1">
        <f t="array" aca="1" ref="C109" ca="1">INDIRECT($F109&amp;C$90&amp;"!"&amp;$G109)</f>
        <v>10</v>
      </c>
      <c r="D109" s="311" cm="1">
        <f t="array" aca="1" ref="D109" ca="1">INDIRECT($F109&amp;D$90&amp;"!"&amp;$G109)</f>
        <v>10</v>
      </c>
      <c r="E109" s="307">
        <f t="shared" ca="1" si="2"/>
        <v>10</v>
      </c>
      <c r="F109" s="305" t="str">
        <f t="shared" ca="1" si="3"/>
        <v>HP_</v>
      </c>
      <c r="G109" s="305" t="str">
        <f t="shared" ca="1" si="4"/>
        <v>B27</v>
      </c>
      <c r="H109" s="305" t="str">
        <f t="shared" ca="1" si="5"/>
        <v>HP_1!B27</v>
      </c>
    </row>
    <row r="110" spans="1:8">
      <c r="A110" s="304" t="str">
        <f>HP_1!A28</f>
        <v>Return Temperature at design conditions</v>
      </c>
      <c r="B110" s="309">
        <f>HP_1!B28</f>
        <v>-10</v>
      </c>
      <c r="C110" s="311" cm="1">
        <f t="array" aca="1" ref="C110" ca="1">INDIRECT($F110&amp;C$90&amp;"!"&amp;$G110)</f>
        <v>-10</v>
      </c>
      <c r="D110" s="311" cm="1">
        <f t="array" aca="1" ref="D110" ca="1">INDIRECT($F110&amp;D$90&amp;"!"&amp;$G110)</f>
        <v>-10</v>
      </c>
      <c r="E110" s="307">
        <f t="shared" ca="1" si="2"/>
        <v>-10</v>
      </c>
      <c r="F110" s="305" t="str">
        <f t="shared" ca="1" si="3"/>
        <v>HP_</v>
      </c>
      <c r="G110" s="305" t="str">
        <f t="shared" ca="1" si="4"/>
        <v>B28</v>
      </c>
      <c r="H110" s="305" t="str">
        <f t="shared" ca="1" si="5"/>
        <v>HP_1!B28</v>
      </c>
    </row>
    <row r="111" spans="1:8">
      <c r="A111" s="304" t="str">
        <f>HP_1!A29</f>
        <v>No of Hrs per Day Heat Pump in Operation</v>
      </c>
      <c r="B111" s="313">
        <f>HP_1!B29</f>
        <v>8</v>
      </c>
      <c r="C111" s="311" cm="1">
        <f t="array" aca="1" ref="C111" ca="1">INDIRECT($F111&amp;C$90&amp;"!"&amp;$G111)</f>
        <v>8</v>
      </c>
      <c r="D111" s="311" cm="1">
        <f t="array" aca="1" ref="D111" ca="1">INDIRECT($F111&amp;D$90&amp;"!"&amp;$G111)</f>
        <v>8</v>
      </c>
      <c r="E111" s="307">
        <f t="shared" ca="1" si="2"/>
        <v>8</v>
      </c>
      <c r="F111" s="305" t="str">
        <f t="shared" ca="1" si="3"/>
        <v>HP_</v>
      </c>
      <c r="G111" s="305" t="str">
        <f t="shared" ca="1" si="4"/>
        <v>B29</v>
      </c>
      <c r="H111" s="305" t="str">
        <f t="shared" ca="1" si="5"/>
        <v>HP_1!B29</v>
      </c>
    </row>
    <row r="112" spans="1:8">
      <c r="A112" s="304" t="str">
        <f>HP_1!A30</f>
        <v>Cut-out hours</v>
      </c>
      <c r="B112" s="309">
        <f>HP_1!B30</f>
        <v>16</v>
      </c>
      <c r="C112" s="311" cm="1">
        <f t="array" aca="1" ref="C112" ca="1">INDIRECT($F112&amp;C$90&amp;"!"&amp;$G112)</f>
        <v>16</v>
      </c>
      <c r="D112" s="311" cm="1">
        <f t="array" aca="1" ref="D112" ca="1">INDIRECT($F112&amp;D$90&amp;"!"&amp;$G112)</f>
        <v>16</v>
      </c>
      <c r="E112" s="307">
        <f t="shared" ca="1" si="2"/>
        <v>16</v>
      </c>
      <c r="F112" s="305" t="str">
        <f t="shared" ca="1" si="3"/>
        <v>HP_</v>
      </c>
      <c r="G112" s="305" t="str">
        <f t="shared" ca="1" si="4"/>
        <v>B30</v>
      </c>
      <c r="H112" s="305" t="str">
        <f t="shared" ca="1" si="5"/>
        <v>HP_1!B30</v>
      </c>
    </row>
    <row r="113" spans="1:8">
      <c r="A113" s="304" t="str">
        <f>HP_1!A31</f>
        <v>Heat pump fuel primary energy factor</v>
      </c>
      <c r="B113" s="309">
        <f>HP_1!B31</f>
        <v>1.75</v>
      </c>
      <c r="C113" s="311" cm="1">
        <f t="array" aca="1" ref="C113" ca="1">INDIRECT($F113&amp;C$90&amp;"!"&amp;$G113)</f>
        <v>1.75</v>
      </c>
      <c r="D113" s="311" cm="1">
        <f t="array" aca="1" ref="D113" ca="1">INDIRECT($F113&amp;D$90&amp;"!"&amp;$G113)</f>
        <v>1.75</v>
      </c>
      <c r="E113" s="307">
        <f t="shared" ca="1" si="2"/>
        <v>1.75</v>
      </c>
      <c r="F113" s="305" t="str">
        <f t="shared" ca="1" si="3"/>
        <v>HP_</v>
      </c>
      <c r="G113" s="305" t="str">
        <f t="shared" ca="1" si="4"/>
        <v>B31</v>
      </c>
      <c r="H113" s="305" t="str">
        <f t="shared" ca="1" si="5"/>
        <v>HP_1!B31</v>
      </c>
    </row>
    <row r="114" spans="1:8" ht="24">
      <c r="A114" s="304" t="str">
        <f>HP_1!A32</f>
        <v>Is a Back Up Space Heater Present within Dwelling</v>
      </c>
      <c r="B114" s="309" t="str">
        <f>HP_1!B32</f>
        <v>No</v>
      </c>
      <c r="C114" s="311" t="str" cm="1">
        <f t="array" aca="1" ref="C114" ca="1">INDIRECT($F114&amp;C$90&amp;"!"&amp;$G114)</f>
        <v>No</v>
      </c>
      <c r="D114" s="311" t="str" cm="1">
        <f t="array" aca="1" ref="D114" ca="1">INDIRECT($F114&amp;D$90&amp;"!"&amp;$G114)</f>
        <v>No</v>
      </c>
      <c r="E114" s="307" t="str">
        <f t="shared" ca="1" si="2"/>
        <v>No</v>
      </c>
      <c r="F114" s="305" t="str">
        <f t="shared" ca="1" si="3"/>
        <v>HP_</v>
      </c>
      <c r="G114" s="305" t="str">
        <f t="shared" ca="1" si="4"/>
        <v>B32</v>
      </c>
      <c r="H114" s="305" t="str">
        <f t="shared" ca="1" si="5"/>
        <v>HP_1!B32</v>
      </c>
    </row>
    <row r="115" spans="1:8">
      <c r="A115" s="304" t="str">
        <f>HP_1!A33</f>
        <v>Back Up Space Heater Fuel</v>
      </c>
      <c r="B115" s="309" t="str">
        <f>HP_1!B33</f>
        <v>Electricity</v>
      </c>
      <c r="C115" s="311" t="str" cm="1">
        <f t="array" aca="1" ref="C115" ca="1">INDIRECT($F115&amp;C$90&amp;"!"&amp;$G115)</f>
        <v>Electricity</v>
      </c>
      <c r="D115" s="311" t="str" cm="1">
        <f t="array" aca="1" ref="D115" ca="1">INDIRECT($F115&amp;D$90&amp;"!"&amp;$G115)</f>
        <v>Electricity</v>
      </c>
      <c r="E115" s="307" t="str">
        <f t="shared" ca="1" si="2"/>
        <v>Electricity</v>
      </c>
      <c r="F115" s="305" t="str">
        <f t="shared" ca="1" si="3"/>
        <v>HP_</v>
      </c>
      <c r="G115" s="305" t="str">
        <f t="shared" ca="1" si="4"/>
        <v>B33</v>
      </c>
      <c r="H115" s="305" t="str">
        <f t="shared" ca="1" si="5"/>
        <v>HP_1!B33</v>
      </c>
    </row>
    <row r="116" spans="1:8" ht="24">
      <c r="A116" s="304" t="str">
        <f>HP_1!A34</f>
        <v>Primary Energy Factor for Back Up Space Heater</v>
      </c>
      <c r="B116" s="309">
        <f>HP_1!B34</f>
        <v>1.75</v>
      </c>
      <c r="C116" s="311" cm="1">
        <f t="array" aca="1" ref="C116" ca="1">INDIRECT($F116&amp;C$90&amp;"!"&amp;$G116)</f>
        <v>1.75</v>
      </c>
      <c r="D116" s="311" cm="1">
        <f t="array" aca="1" ref="D116" ca="1">INDIRECT($F116&amp;D$90&amp;"!"&amp;$G116)</f>
        <v>1.75</v>
      </c>
      <c r="E116" s="307">
        <f t="shared" ca="1" si="2"/>
        <v>1.75</v>
      </c>
      <c r="F116" s="305" t="str">
        <f t="shared" ca="1" si="3"/>
        <v>HP_</v>
      </c>
      <c r="G116" s="305" t="str">
        <f t="shared" ca="1" si="4"/>
        <v>B34</v>
      </c>
      <c r="H116" s="305" t="str">
        <f t="shared" ca="1" si="5"/>
        <v>HP_1!B34</v>
      </c>
    </row>
    <row r="117" spans="1:8">
      <c r="A117" s="304" t="str">
        <f>HP_1!A35</f>
        <v>Efficiency of Back up Space Heater</v>
      </c>
      <c r="B117" s="309">
        <f>HP_1!B35</f>
        <v>0</v>
      </c>
      <c r="C117" s="311" cm="1">
        <f t="array" aca="1" ref="C117" ca="1">INDIRECT($F117&amp;C$90&amp;"!"&amp;$G117)</f>
        <v>0</v>
      </c>
      <c r="D117" s="311" cm="1">
        <f t="array" aca="1" ref="D117" ca="1">INDIRECT($F117&amp;D$90&amp;"!"&amp;$G117)</f>
        <v>0</v>
      </c>
      <c r="E117" s="307">
        <f t="shared" ca="1" si="2"/>
        <v>0</v>
      </c>
      <c r="F117" s="305" t="str">
        <f t="shared" ca="1" si="3"/>
        <v>HP_</v>
      </c>
      <c r="G117" s="305" t="str">
        <f t="shared" ca="1" si="4"/>
        <v>B35</v>
      </c>
      <c r="H117" s="305" t="str">
        <f t="shared" ca="1" si="5"/>
        <v>HP_1!B35</v>
      </c>
    </row>
    <row r="118" spans="1:8" ht="24">
      <c r="A118" s="304" t="str">
        <f>HP_1!A36</f>
        <v>Adjusted Efficiency of Back up Space Heater relative to fuel used for heat pump</v>
      </c>
      <c r="B118" s="315">
        <f>HP_1!B36</f>
        <v>1</v>
      </c>
      <c r="C118" s="311" cm="1">
        <f t="array" aca="1" ref="C118" ca="1">INDIRECT($F118&amp;C$90&amp;"!"&amp;$G118)</f>
        <v>1</v>
      </c>
      <c r="D118" s="311" cm="1">
        <f t="array" aca="1" ref="D118" ca="1">INDIRECT($F118&amp;D$90&amp;"!"&amp;$G118)</f>
        <v>1</v>
      </c>
      <c r="E118" s="308">
        <f t="shared" ca="1" si="2"/>
        <v>1</v>
      </c>
      <c r="F118" s="305" t="str">
        <f t="shared" ca="1" si="3"/>
        <v>HP_</v>
      </c>
      <c r="G118" s="305" t="str">
        <f t="shared" ca="1" si="4"/>
        <v>B36</v>
      </c>
      <c r="H118" s="305" t="str">
        <f t="shared" ca="1" si="5"/>
        <v>HP_1!B36</v>
      </c>
    </row>
    <row r="119" spans="1:8" ht="24">
      <c r="A119" s="304" t="str">
        <f>HP_1!A65</f>
        <v>Type of heat pump</v>
      </c>
      <c r="B119" s="315" t="str">
        <f>HP_1!B65</f>
        <v>Air to Water</v>
      </c>
      <c r="C119" s="311" t="str" cm="1">
        <f t="array" aca="1" ref="C119" ca="1">INDIRECT($F119&amp;C$90&amp;"!"&amp;$G119)</f>
        <v>Air to Water</v>
      </c>
      <c r="D119" s="311" t="str" cm="1">
        <f t="array" aca="1" ref="D119" ca="1">INDIRECT($F119&amp;D$90&amp;"!"&amp;$G119)</f>
        <v>Air to Water</v>
      </c>
      <c r="E119" s="308" t="str">
        <f t="shared" ca="1" si="2"/>
        <v>Air to Water</v>
      </c>
      <c r="F119" s="305" t="str">
        <f t="shared" ca="1" si="3"/>
        <v>HP_</v>
      </c>
      <c r="G119" s="305" t="str">
        <f t="shared" ca="1" si="4"/>
        <v>B65</v>
      </c>
      <c r="H119" s="305" t="str">
        <f t="shared" ca="1" si="5"/>
        <v>HP_1!B65</v>
      </c>
    </row>
    <row r="120" spans="1:8" ht="36">
      <c r="A120" s="304" t="str">
        <f>HP_1!A66</f>
        <v>Temperature Control 
(refered to as Capacity Control in Ecodesign Standard Template)</v>
      </c>
      <c r="B120" s="315" t="str">
        <f>HP_1!B66</f>
        <v>Fixed Outlet</v>
      </c>
      <c r="C120" s="311" t="str" cm="1">
        <f t="array" aca="1" ref="C120" ca="1">INDIRECT($F120&amp;C$90&amp;"!"&amp;$G120)</f>
        <v>Fixed Outlet</v>
      </c>
      <c r="D120" s="311" t="str" cm="1">
        <f t="array" aca="1" ref="D120" ca="1">INDIRECT($F120&amp;D$90&amp;"!"&amp;$G120)</f>
        <v>Fixed Outlet</v>
      </c>
      <c r="E120" s="308" t="str">
        <f t="shared" ca="1" si="2"/>
        <v>Fixed Outlet</v>
      </c>
      <c r="F120" s="305" t="str">
        <f t="shared" ca="1" si="3"/>
        <v>HP_</v>
      </c>
      <c r="G120" s="305" t="str">
        <f t="shared" ca="1" si="4"/>
        <v>B66</v>
      </c>
      <c r="H120" s="305" t="str">
        <f t="shared" ca="1" si="5"/>
        <v>HP_1!B66</v>
      </c>
    </row>
    <row r="121" spans="1:8" ht="108">
      <c r="A121" s="304" t="str">
        <f>HP_1!A67</f>
        <v>Describe the water heating heat pump arrangement</v>
      </c>
      <c r="B121" s="315" t="str">
        <f>HP_1!B67</f>
        <v>Same Heat Pump providing Space Heating and Domestic Hot Water</v>
      </c>
      <c r="C121" s="311" t="str" cm="1">
        <f t="array" aca="1" ref="C121" ca="1">INDIRECT($F121&amp;C$90&amp;"!"&amp;$G121)</f>
        <v>Same Heat Pump providing Space Heating and Domestic Hot Water</v>
      </c>
      <c r="D121" s="311" t="str" cm="1">
        <f t="array" aca="1" ref="D121" ca="1">INDIRECT($F121&amp;D$90&amp;"!"&amp;$G121)</f>
        <v>Same Heat Pump providing Space Heating and Domestic Hot Water</v>
      </c>
      <c r="E121" s="308" t="str">
        <f t="shared" ca="1" si="2"/>
        <v>Same Heat Pump providing Space Heating and Domestic Hot Water</v>
      </c>
      <c r="F121" s="305" t="str">
        <f t="shared" ca="1" si="3"/>
        <v>HP_</v>
      </c>
      <c r="G121" s="305" t="str">
        <f t="shared" ca="1" si="4"/>
        <v>B67</v>
      </c>
      <c r="H121" s="305" t="str">
        <f t="shared" ca="1" si="5"/>
        <v>HP_1!B67</v>
      </c>
    </row>
    <row r="122" spans="1:8" ht="24">
      <c r="A122" s="304" t="str">
        <f>HP_1!A68</f>
        <v>Water Heating Test Standard</v>
      </c>
      <c r="B122" s="315" t="str">
        <f>HP_1!B68</f>
        <v>I.S. EN 16147</v>
      </c>
      <c r="C122" s="311" t="str" cm="1">
        <f t="array" aca="1" ref="C122" ca="1">INDIRECT($F122&amp;C$90&amp;"!"&amp;$G122)</f>
        <v>I.S. EN 16147</v>
      </c>
      <c r="D122" s="311" t="str" cm="1">
        <f t="array" aca="1" ref="D122" ca="1">INDIRECT($F122&amp;D$90&amp;"!"&amp;$G122)</f>
        <v>I.S. EN 16147</v>
      </c>
      <c r="E122" s="308" t="str">
        <f t="shared" ca="1" si="2"/>
        <v>I.S. EN 16147</v>
      </c>
      <c r="F122" s="305" t="str">
        <f t="shared" ca="1" si="3"/>
        <v>HP_</v>
      </c>
      <c r="G122" s="305" t="str">
        <f t="shared" ca="1" si="4"/>
        <v>B68</v>
      </c>
      <c r="H122" s="305" t="str">
        <f t="shared" ca="1" si="5"/>
        <v>HP_1!B68</v>
      </c>
    </row>
    <row r="123" spans="1:8">
      <c r="A123" s="304" t="str">
        <f>HP_1!A69</f>
        <v>Output from Main Water Heater</v>
      </c>
      <c r="B123" s="316">
        <f>HP_1!B69</f>
        <v>0</v>
      </c>
      <c r="C123" s="311" cm="1">
        <f t="array" aca="1" ref="C123" ca="1">INDIRECT($F123&amp;C$90&amp;"!"&amp;$G123)</f>
        <v>0</v>
      </c>
      <c r="D123" s="311" cm="1">
        <f t="array" aca="1" ref="D123" ca="1">INDIRECT($F123&amp;D$90&amp;"!"&amp;$G123)</f>
        <v>0</v>
      </c>
      <c r="E123" s="310">
        <f t="shared" ca="1" si="2"/>
        <v>0</v>
      </c>
      <c r="F123" s="305" t="str">
        <f t="shared" ca="1" si="3"/>
        <v>HP_</v>
      </c>
      <c r="G123" s="305" t="str">
        <f t="shared" ca="1" si="4"/>
        <v>B69</v>
      </c>
      <c r="H123" s="305" t="str">
        <f t="shared" ca="1" si="5"/>
        <v>HP_1!B69</v>
      </c>
    </row>
    <row r="124" spans="1:8" ht="36">
      <c r="A124" s="304" t="str">
        <f>HP_1!A70</f>
        <v>Type of DHW</v>
      </c>
      <c r="B124" s="316" t="str">
        <f>HP_1!B70</f>
        <v>Separate Hot Water Storage</v>
      </c>
      <c r="C124" s="311" t="str" cm="1">
        <f t="array" aca="1" ref="C124" ca="1">INDIRECT($F124&amp;C$90&amp;"!"&amp;$G124)</f>
        <v>Separate Hot Water Storage</v>
      </c>
      <c r="D124" s="311" t="str" cm="1">
        <f t="array" aca="1" ref="D124" ca="1">INDIRECT($F124&amp;D$90&amp;"!"&amp;$G124)</f>
        <v>Separate Hot Water Storage</v>
      </c>
      <c r="E124" s="308" t="str">
        <f t="shared" ca="1" si="2"/>
        <v>Separate Hot Water Storage</v>
      </c>
      <c r="F124" s="305" t="str">
        <f t="shared" ca="1" si="3"/>
        <v>HP_</v>
      </c>
      <c r="G124" s="305" t="str">
        <f t="shared" ca="1" si="4"/>
        <v>B70</v>
      </c>
      <c r="H124" s="305" t="str">
        <f t="shared" ca="1" si="5"/>
        <v>HP_1!B70</v>
      </c>
    </row>
    <row r="125" spans="1:8">
      <c r="A125" s="304" t="str">
        <f>HP_1!A71</f>
        <v>Cold Water Inlet Temperature</v>
      </c>
      <c r="B125" s="316">
        <f>HP_1!B71</f>
        <v>10</v>
      </c>
      <c r="C125" s="311" cm="1">
        <f t="array" aca="1" ref="C125" ca="1">INDIRECT($F125&amp;C$90&amp;"!"&amp;$G125)</f>
        <v>10</v>
      </c>
      <c r="D125" s="311" cm="1">
        <f t="array" aca="1" ref="D125" ca="1">INDIRECT($F125&amp;D$90&amp;"!"&amp;$G125)</f>
        <v>10</v>
      </c>
      <c r="E125" s="310">
        <f t="shared" ca="1" si="2"/>
        <v>10</v>
      </c>
      <c r="F125" s="305" t="str">
        <f t="shared" ca="1" si="3"/>
        <v>HP_</v>
      </c>
      <c r="G125" s="305" t="str">
        <f t="shared" ca="1" si="4"/>
        <v>B71</v>
      </c>
      <c r="H125" s="305" t="str">
        <f t="shared" ca="1" si="5"/>
        <v>HP_1!B71</v>
      </c>
    </row>
    <row r="126" spans="1:8" ht="24">
      <c r="A126" s="304" t="str">
        <f>HP_1!A72</f>
        <v>Required Flow Temperature from Heat Pump to Hot Water Storage</v>
      </c>
      <c r="B126" s="316">
        <f>HP_1!B72</f>
        <v>65</v>
      </c>
      <c r="C126" s="311" cm="1">
        <f t="array" aca="1" ref="C126" ca="1">INDIRECT($F126&amp;C$90&amp;"!"&amp;$G126)</f>
        <v>65</v>
      </c>
      <c r="D126" s="311" cm="1">
        <f t="array" aca="1" ref="D126" ca="1">INDIRECT($F126&amp;D$90&amp;"!"&amp;$G126)</f>
        <v>65</v>
      </c>
      <c r="E126" s="310">
        <f t="shared" ca="1" si="2"/>
        <v>65</v>
      </c>
      <c r="F126" s="305" t="str">
        <f t="shared" ca="1" si="3"/>
        <v>HP_</v>
      </c>
      <c r="G126" s="305" t="str">
        <f t="shared" ca="1" si="4"/>
        <v>B72</v>
      </c>
      <c r="H126" s="305" t="str">
        <f t="shared" ca="1" si="5"/>
        <v>HP_1!B72</v>
      </c>
    </row>
    <row r="127" spans="1:8">
      <c r="A127" s="304" t="str">
        <f>HP_1!A73</f>
        <v>Volume of DHW Storage</v>
      </c>
      <c r="B127" s="316">
        <f>HP_1!B73</f>
        <v>0</v>
      </c>
      <c r="C127" s="311" cm="1">
        <f t="array" aca="1" ref="C127" ca="1">INDIRECT($F127&amp;C$90&amp;"!"&amp;$G127)</f>
        <v>0</v>
      </c>
      <c r="D127" s="311" cm="1">
        <f t="array" aca="1" ref="D127" ca="1">INDIRECT($F127&amp;D$90&amp;"!"&amp;$G127)</f>
        <v>0</v>
      </c>
      <c r="E127" s="310">
        <f t="shared" ca="1" si="2"/>
        <v>0</v>
      </c>
      <c r="F127" s="305" t="str">
        <f t="shared" ca="1" si="3"/>
        <v>HP_</v>
      </c>
      <c r="G127" s="305" t="str">
        <f t="shared" ca="1" si="4"/>
        <v>B73</v>
      </c>
      <c r="H127" s="305" t="str">
        <f t="shared" ca="1" si="5"/>
        <v>HP_1!B73</v>
      </c>
    </row>
    <row r="128" spans="1:8" ht="24">
      <c r="A128" s="304" t="str">
        <f>HP_1!A74</f>
        <v>Is there a water heater installed as back up for the heat pump</v>
      </c>
      <c r="B128" s="316" t="str">
        <f>HP_1!B74</f>
        <v>No</v>
      </c>
      <c r="C128" s="311" t="str" cm="1">
        <f t="array" aca="1" ref="C128" ca="1">INDIRECT($F128&amp;C$90&amp;"!"&amp;$G128)</f>
        <v>No</v>
      </c>
      <c r="D128" s="311" t="str" cm="1">
        <f t="array" aca="1" ref="D128" ca="1">INDIRECT($F128&amp;D$90&amp;"!"&amp;$G128)</f>
        <v>No</v>
      </c>
      <c r="E128" s="308" t="str">
        <f t="shared" ca="1" si="2"/>
        <v>No</v>
      </c>
      <c r="F128" s="305" t="str">
        <f t="shared" ca="1" si="3"/>
        <v>HP_</v>
      </c>
      <c r="G128" s="305" t="str">
        <f t="shared" ca="1" si="4"/>
        <v>B74</v>
      </c>
      <c r="H128" s="305" t="str">
        <f t="shared" ca="1" si="5"/>
        <v>HP_1!B74</v>
      </c>
    </row>
    <row r="129" spans="1:8">
      <c r="A129" s="304" t="str">
        <f>HP_1!A75</f>
        <v>Back Up Water Heater Fuel</v>
      </c>
      <c r="B129" s="316" t="str">
        <f>HP_1!B75</f>
        <v>Electricity</v>
      </c>
      <c r="C129" s="311" t="str" cm="1">
        <f t="array" aca="1" ref="C129" ca="1">INDIRECT($F129&amp;C$90&amp;"!"&amp;$G129)</f>
        <v>Electricity</v>
      </c>
      <c r="D129" s="311" t="str" cm="1">
        <f t="array" aca="1" ref="D129" ca="1">INDIRECT($F129&amp;D$90&amp;"!"&amp;$G129)</f>
        <v>Electricity</v>
      </c>
      <c r="E129" s="308" t="str">
        <f t="shared" ca="1" si="2"/>
        <v>Electricity</v>
      </c>
      <c r="F129" s="305" t="str">
        <f t="shared" ca="1" si="3"/>
        <v>HP_</v>
      </c>
      <c r="G129" s="305" t="str">
        <f t="shared" ca="1" si="4"/>
        <v>B75</v>
      </c>
      <c r="H129" s="305" t="str">
        <f t="shared" ca="1" si="5"/>
        <v>HP_1!B75</v>
      </c>
    </row>
    <row r="130" spans="1:8" ht="24">
      <c r="A130" s="304" t="str">
        <f>HP_1!A76</f>
        <v>Primary Energy Factor for Back Up Water Heater</v>
      </c>
      <c r="B130" s="316">
        <f>HP_1!B76</f>
        <v>1.75</v>
      </c>
      <c r="C130" s="311" cm="1">
        <f t="array" aca="1" ref="C130" ca="1">INDIRECT($F130&amp;C$90&amp;"!"&amp;$G130)</f>
        <v>1.75</v>
      </c>
      <c r="D130" s="311" cm="1">
        <f t="array" aca="1" ref="D130" ca="1">INDIRECT($F130&amp;D$90&amp;"!"&amp;$G130)</f>
        <v>1.75</v>
      </c>
      <c r="E130" s="310">
        <f t="shared" ca="1" si="2"/>
        <v>1.75</v>
      </c>
      <c r="F130" s="305" t="str">
        <f t="shared" ca="1" si="3"/>
        <v>HP_</v>
      </c>
      <c r="G130" s="305" t="str">
        <f t="shared" ca="1" si="4"/>
        <v>B76</v>
      </c>
      <c r="H130" s="305" t="str">
        <f t="shared" ca="1" si="5"/>
        <v>HP_1!B76</v>
      </c>
    </row>
    <row r="131" spans="1:8">
      <c r="A131" s="304" t="str">
        <f>HP_1!A77</f>
        <v>Efficiency of Back up Water Heater</v>
      </c>
      <c r="B131" s="316">
        <f>HP_1!B77</f>
        <v>0</v>
      </c>
      <c r="C131" s="311" cm="1">
        <f t="array" aca="1" ref="C131" ca="1">INDIRECT($F131&amp;C$90&amp;"!"&amp;$G131)</f>
        <v>0</v>
      </c>
      <c r="D131" s="311" cm="1">
        <f t="array" aca="1" ref="D131" ca="1">INDIRECT($F131&amp;D$90&amp;"!"&amp;$G131)</f>
        <v>0</v>
      </c>
      <c r="E131" s="308">
        <f t="shared" ca="1" si="2"/>
        <v>0</v>
      </c>
      <c r="F131" s="305" t="str">
        <f t="shared" ca="1" si="3"/>
        <v>HP_</v>
      </c>
      <c r="G131" s="305" t="str">
        <f t="shared" ca="1" si="4"/>
        <v>B77</v>
      </c>
      <c r="H131" s="305" t="str">
        <f t="shared" ca="1" si="5"/>
        <v>HP_1!B77</v>
      </c>
    </row>
    <row r="132" spans="1:8" ht="24">
      <c r="A132" s="304" t="str">
        <f>HP_1!A78</f>
        <v>Adjusted Efficiency of Back up Water Heater relative to fuel used by heat pump</v>
      </c>
      <c r="B132" s="316">
        <f>HP_1!B78</f>
        <v>1</v>
      </c>
      <c r="C132" s="311" cm="1">
        <f t="array" aca="1" ref="C132" ca="1">INDIRECT($F132&amp;C$90&amp;"!"&amp;$G132)</f>
        <v>1</v>
      </c>
      <c r="D132" s="311" cm="1">
        <f t="array" aca="1" ref="D132" ca="1">INDIRECT($F132&amp;D$90&amp;"!"&amp;$G132)</f>
        <v>1</v>
      </c>
      <c r="E132" s="308">
        <f t="shared" ca="1" si="2"/>
        <v>1</v>
      </c>
      <c r="F132" s="305" t="str">
        <f t="shared" ca="1" si="3"/>
        <v>HP_</v>
      </c>
      <c r="G132" s="305" t="str">
        <f t="shared" ca="1" si="4"/>
        <v>B78</v>
      </c>
      <c r="H132" s="305" t="str">
        <f t="shared" ca="1" si="5"/>
        <v>HP_1!B78</v>
      </c>
    </row>
    <row r="133" spans="1:8" ht="60">
      <c r="A133" s="304" t="str">
        <f>HP_1!A81</f>
        <v>Source of data</v>
      </c>
      <c r="B133" s="316" t="str">
        <f>HP_1!B81</f>
        <v>Water heating energy efficiency, ηwh</v>
      </c>
      <c r="C133" s="311" t="str" cm="1">
        <f t="array" aca="1" ref="C133" ca="1">INDIRECT($F133&amp;C$90&amp;"!"&amp;$G133)</f>
        <v>Water heating energy efficiency, ηwh</v>
      </c>
      <c r="D133" s="311" t="str" cm="1">
        <f t="array" aca="1" ref="D133" ca="1">INDIRECT($F133&amp;D$90&amp;"!"&amp;$G133)</f>
        <v>Water heating energy efficiency, ηwh</v>
      </c>
      <c r="E133" s="308" t="str">
        <f t="shared" ca="1" si="2"/>
        <v>Water heating energy efficiency, ηwh</v>
      </c>
      <c r="F133" s="305" t="str">
        <f t="shared" ca="1" si="3"/>
        <v>HP_</v>
      </c>
      <c r="G133" s="305" t="str">
        <f t="shared" ca="1" si="4"/>
        <v>B81</v>
      </c>
      <c r="H133" s="305" t="str">
        <f t="shared" ca="1" si="5"/>
        <v>HP_1!B81</v>
      </c>
    </row>
    <row r="134" spans="1:8">
      <c r="A134" s="304" t="str">
        <f>HP_1!A82</f>
        <v>Water heating energy efficiency, ηwh</v>
      </c>
      <c r="B134" s="316">
        <f>HP_1!B82</f>
        <v>0</v>
      </c>
      <c r="C134" s="311" cm="1">
        <f t="array" aca="1" ref="C134" ca="1">INDIRECT($F134&amp;C$90&amp;"!"&amp;$G134)</f>
        <v>0</v>
      </c>
      <c r="D134" s="311" cm="1">
        <f t="array" aca="1" ref="D134" ca="1">INDIRECT($F134&amp;D$90&amp;"!"&amp;$G134)</f>
        <v>0</v>
      </c>
      <c r="E134" s="310">
        <f t="shared" ca="1" si="2"/>
        <v>0</v>
      </c>
      <c r="F134" s="305" t="str">
        <f t="shared" ca="1" si="3"/>
        <v>HP_</v>
      </c>
      <c r="G134" s="305" t="str">
        <f t="shared" ca="1" si="4"/>
        <v>B82</v>
      </c>
      <c r="H134" s="305" t="str">
        <f t="shared" ca="1" si="5"/>
        <v>HP_1!B82</v>
      </c>
    </row>
    <row r="135" spans="1:8">
      <c r="A135" s="304" t="str">
        <f>HP_1!A83</f>
        <v xml:space="preserve">Equivalent Coefficient of Performance </v>
      </c>
      <c r="B135" s="316">
        <f>HP_1!B83</f>
        <v>0</v>
      </c>
      <c r="C135" s="311" cm="1">
        <f t="array" aca="1" ref="C135" ca="1">INDIRECT($F135&amp;C$90&amp;"!"&amp;$G135)</f>
        <v>0</v>
      </c>
      <c r="D135" s="311" cm="1">
        <f t="array" aca="1" ref="D135" ca="1">INDIRECT($F135&amp;D$90&amp;"!"&amp;$G135)</f>
        <v>0</v>
      </c>
      <c r="E135" s="310">
        <f t="shared" ca="1" si="2"/>
        <v>0</v>
      </c>
      <c r="F135" s="305" t="str">
        <f t="shared" ca="1" si="3"/>
        <v>HP_</v>
      </c>
      <c r="G135" s="305" t="str">
        <f t="shared" ca="1" si="4"/>
        <v>B83</v>
      </c>
      <c r="H135" s="305" t="str">
        <f t="shared" ca="1" si="5"/>
        <v>HP_1!B83</v>
      </c>
    </row>
    <row r="136" spans="1:8">
      <c r="A136" s="304" t="str">
        <f>HP_1!A84</f>
        <v>Reference Hot Water Temperature</v>
      </c>
      <c r="B136" s="316" t="str">
        <f>HP_1!B84</f>
        <v xml:space="preserve"> </v>
      </c>
      <c r="C136" s="311" cm="1">
        <f t="array" aca="1" ref="C136" ca="1">INDIRECT($F136&amp;C$90&amp;"!"&amp;$G136)</f>
        <v>0</v>
      </c>
      <c r="D136" s="311" cm="1">
        <f t="array" aca="1" ref="D136" ca="1">INDIRECT($F136&amp;D$90&amp;"!"&amp;$G136)</f>
        <v>0</v>
      </c>
      <c r="E136" s="310">
        <f t="shared" ca="1" si="2"/>
        <v>0</v>
      </c>
      <c r="F136" s="305" t="str">
        <f t="shared" ca="1" si="3"/>
        <v>HP_</v>
      </c>
      <c r="G136" s="305" t="str">
        <f t="shared" ca="1" si="4"/>
        <v>B84</v>
      </c>
      <c r="H136" s="305" t="str">
        <f t="shared" ca="1" si="5"/>
        <v>HP_1!B84</v>
      </c>
    </row>
    <row r="137" spans="1:8">
      <c r="A137" s="304" t="str">
        <f>HP_1!A85</f>
        <v>Required Source Temperature</v>
      </c>
      <c r="B137" s="316">
        <f>HP_1!B85</f>
        <v>7</v>
      </c>
      <c r="C137" s="311" cm="1">
        <f t="array" aca="1" ref="C137" ca="1">INDIRECT($F137&amp;C$90&amp;"!"&amp;$G137)</f>
        <v>7</v>
      </c>
      <c r="D137" s="311" cm="1">
        <f t="array" aca="1" ref="D137" ca="1">INDIRECT($F137&amp;D$90&amp;"!"&amp;$G137)</f>
        <v>7</v>
      </c>
      <c r="E137" s="310">
        <f t="shared" ca="1" si="2"/>
        <v>7</v>
      </c>
      <c r="F137" s="305" t="str">
        <f t="shared" ca="1" si="3"/>
        <v>HP_</v>
      </c>
      <c r="G137" s="305" t="str">
        <f t="shared" ca="1" si="4"/>
        <v>B85</v>
      </c>
      <c r="H137" s="305" t="str">
        <f t="shared" ca="1" si="5"/>
        <v>HP_1!B85</v>
      </c>
    </row>
    <row r="138" spans="1:8">
      <c r="A138" s="304" t="str">
        <f>HP_1!A86</f>
        <v>Capacity of Heat Pump</v>
      </c>
      <c r="B138" s="316">
        <f>HP_1!B86</f>
        <v>0</v>
      </c>
      <c r="C138" s="311" cm="1">
        <f t="array" aca="1" ref="C138" ca="1">INDIRECT($F138&amp;C$90&amp;"!"&amp;$G138)</f>
        <v>0</v>
      </c>
      <c r="D138" s="311" cm="1">
        <f t="array" aca="1" ref="D138" ca="1">INDIRECT($F138&amp;D$90&amp;"!"&amp;$G138)</f>
        <v>0</v>
      </c>
      <c r="E138" s="310">
        <f t="shared" ca="1" si="2"/>
        <v>0</v>
      </c>
      <c r="F138" s="305" t="str">
        <f t="shared" ca="1" si="3"/>
        <v>HP_</v>
      </c>
      <c r="G138" s="305" t="str">
        <f t="shared" ca="1" si="4"/>
        <v>B86</v>
      </c>
      <c r="H138" s="305" t="str">
        <f t="shared" ca="1" si="5"/>
        <v>HP_1!B86</v>
      </c>
    </row>
    <row r="139" spans="1:8">
      <c r="A139" s="304" t="str">
        <f>HP_1!A87</f>
        <v>Declared Load Profile</v>
      </c>
      <c r="B139" s="316" t="str">
        <f>HP_1!B87</f>
        <v>M</v>
      </c>
      <c r="C139" s="311" t="str" cm="1">
        <f t="array" aca="1" ref="C139" ca="1">INDIRECT($F139&amp;C$90&amp;"!"&amp;$G139)</f>
        <v>M</v>
      </c>
      <c r="D139" s="311" t="str" cm="1">
        <f t="array" aca="1" ref="D139" ca="1">INDIRECT($F139&amp;D$90&amp;"!"&amp;$G139)</f>
        <v>M</v>
      </c>
      <c r="E139" s="308" t="str">
        <f t="shared" ca="1" si="2"/>
        <v>M</v>
      </c>
      <c r="F139" s="305" t="str">
        <f t="shared" ca="1" si="3"/>
        <v>HP_</v>
      </c>
      <c r="G139" s="305" t="str">
        <f t="shared" ca="1" si="4"/>
        <v>B87</v>
      </c>
      <c r="H139" s="305" t="str">
        <f t="shared" ca="1" si="5"/>
        <v>HP_1!B87</v>
      </c>
    </row>
    <row r="140" spans="1:8">
      <c r="A140" s="304" t="str">
        <f>HP_1!A88</f>
        <v>Standby Heat Loss</v>
      </c>
      <c r="B140" s="316">
        <f>HP_1!B88</f>
        <v>0</v>
      </c>
      <c r="C140" s="311" cm="1">
        <f t="array" aca="1" ref="C140" ca="1">INDIRECT($F140&amp;C$90&amp;"!"&amp;$G140)</f>
        <v>0</v>
      </c>
      <c r="D140" s="311" cm="1">
        <f t="array" aca="1" ref="D140" ca="1">INDIRECT($F140&amp;D$90&amp;"!"&amp;$G140)</f>
        <v>0</v>
      </c>
      <c r="E140" s="310">
        <f t="shared" ca="1" si="2"/>
        <v>0</v>
      </c>
      <c r="F140" s="305" t="str">
        <f t="shared" ca="1" si="3"/>
        <v>HP_</v>
      </c>
      <c r="G140" s="305" t="str">
        <f t="shared" ca="1" si="4"/>
        <v>B88</v>
      </c>
      <c r="H140" s="305" t="str">
        <f t="shared" ca="1" si="5"/>
        <v>HP_1!B88</v>
      </c>
    </row>
    <row r="141" spans="1:8">
      <c r="A141" s="304" t="str">
        <f>HP_1!A89</f>
        <v>Volume of DHW accounted for in test</v>
      </c>
      <c r="B141" s="316">
        <f>HP_1!B89</f>
        <v>0</v>
      </c>
      <c r="C141" s="311" cm="1">
        <f t="array" aca="1" ref="C141" ca="1">INDIRECT($F141&amp;C$90&amp;"!"&amp;$G141)</f>
        <v>0</v>
      </c>
      <c r="D141" s="311" cm="1">
        <f t="array" aca="1" ref="D141" ca="1">INDIRECT($F141&amp;D$90&amp;"!"&amp;$G141)</f>
        <v>0</v>
      </c>
      <c r="E141" s="310">
        <f t="shared" ca="1" si="2"/>
        <v>0</v>
      </c>
      <c r="F141" s="305" t="str">
        <f t="shared" ca="1" si="3"/>
        <v>HP_</v>
      </c>
      <c r="G141" s="305" t="str">
        <f t="shared" ca="1" si="4"/>
        <v>B89</v>
      </c>
      <c r="H141" s="305" t="str">
        <f t="shared" ca="1" si="5"/>
        <v>HP_1!B89</v>
      </c>
    </row>
    <row r="142" spans="1:8">
      <c r="A142" s="304" t="str">
        <f>HP_1!A92</f>
        <v>Is the Heat Pump Listed on HARP</v>
      </c>
      <c r="B142" s="316" t="str">
        <f>HP_1!B92</f>
        <v>Yes</v>
      </c>
      <c r="C142" s="311" t="str" cm="1">
        <f t="array" aca="1" ref="C142" ca="1">INDIRECT($F142&amp;C$90&amp;"!"&amp;$G142)</f>
        <v>Yes</v>
      </c>
      <c r="D142" s="311" t="str" cm="1">
        <f t="array" aca="1" ref="D142" ca="1">INDIRECT($F142&amp;D$90&amp;"!"&amp;$G142)</f>
        <v>Yes</v>
      </c>
      <c r="E142" s="308" t="str">
        <f t="shared" ca="1" si="2"/>
        <v>Yes</v>
      </c>
      <c r="F142" s="305" t="str">
        <f t="shared" ca="1" si="3"/>
        <v>HP_</v>
      </c>
      <c r="G142" s="305" t="str">
        <f t="shared" ca="1" si="4"/>
        <v>B92</v>
      </c>
      <c r="H142" s="305" t="str">
        <f t="shared" ca="1" si="5"/>
        <v>HP_1!B92</v>
      </c>
    </row>
    <row r="143" spans="1:8" ht="24">
      <c r="A143" s="304" t="str">
        <f>HP_1!A93</f>
        <v>Enter SPF based on DEAP Methodology/ HARP</v>
      </c>
      <c r="B143" s="316">
        <f>HP_1!B93</f>
        <v>3.33</v>
      </c>
      <c r="C143" s="311" cm="1">
        <f t="array" aca="1" ref="C143" ca="1">INDIRECT($F143&amp;C$90&amp;"!"&amp;$G143)</f>
        <v>3.33</v>
      </c>
      <c r="D143" s="311" cm="1">
        <f t="array" aca="1" ref="D143" ca="1">INDIRECT($F143&amp;D$90&amp;"!"&amp;$G143)</f>
        <v>3.33</v>
      </c>
      <c r="E143" s="310">
        <f t="shared" ca="1" si="2"/>
        <v>3.33</v>
      </c>
      <c r="F143" s="305" t="str">
        <f t="shared" ca="1" si="3"/>
        <v>HP_</v>
      </c>
      <c r="G143" s="305" t="str">
        <f t="shared" ca="1" si="4"/>
        <v>B93</v>
      </c>
      <c r="H143" s="305" t="str">
        <f t="shared" ca="1" si="5"/>
        <v>HP_1!B93</v>
      </c>
    </row>
    <row r="144" spans="1:8" ht="24">
      <c r="A144" s="304" t="str">
        <f>HP_1!A94</f>
        <v>Is there load or weather compensation present?</v>
      </c>
      <c r="B144" s="316" t="str">
        <f>HP_1!B94</f>
        <v>Yes</v>
      </c>
      <c r="C144" s="311" t="str" cm="1">
        <f t="array" aca="1" ref="C144" ca="1">INDIRECT($F144&amp;C$90&amp;"!"&amp;$G144)</f>
        <v>Yes</v>
      </c>
      <c r="D144" s="311" t="str" cm="1">
        <f t="array" aca="1" ref="D144" ca="1">INDIRECT($F144&amp;D$90&amp;"!"&amp;$G144)</f>
        <v>Yes</v>
      </c>
      <c r="E144" s="308" t="str">
        <f t="shared" ca="1" si="2"/>
        <v>Yes</v>
      </c>
      <c r="F144" s="305" t="str">
        <f t="shared" ca="1" si="3"/>
        <v>HP_</v>
      </c>
      <c r="G144" s="305" t="str">
        <f t="shared" ca="1" si="4"/>
        <v>B94</v>
      </c>
      <c r="H144" s="305" t="str">
        <f t="shared" ca="1" si="5"/>
        <v>HP_1!B94</v>
      </c>
    </row>
    <row r="145" spans="1:8" ht="24">
      <c r="A145" s="304" t="str">
        <f>HP_1!A95</f>
        <v>Does the heat pump have an Integral Immersion</v>
      </c>
      <c r="B145" s="316" t="str">
        <f>HP_1!B95</f>
        <v>No</v>
      </c>
      <c r="C145" s="311" t="str" cm="1">
        <f t="array" aca="1" ref="C145" ca="1">INDIRECT($F145&amp;C$90&amp;"!"&amp;$G145)</f>
        <v>No</v>
      </c>
      <c r="D145" s="311" t="str" cm="1">
        <f t="array" aca="1" ref="D145" ca="1">INDIRECT($F145&amp;D$90&amp;"!"&amp;$G145)</f>
        <v>No</v>
      </c>
      <c r="E145" s="308" t="str">
        <f t="shared" ca="1" si="2"/>
        <v>No</v>
      </c>
      <c r="F145" s="305" t="str">
        <f t="shared" ca="1" si="3"/>
        <v>HP_</v>
      </c>
      <c r="G145" s="305" t="str">
        <f t="shared" ca="1" si="4"/>
        <v>B95</v>
      </c>
      <c r="H145" s="305" t="str">
        <f t="shared" ca="1" si="5"/>
        <v>HP_1!B95</v>
      </c>
    </row>
    <row r="146" spans="1:8" ht="24">
      <c r="A146" s="304" t="str">
        <f>HP_1!A96</f>
        <v>Does heat pump reach a flow temperature of &gt;=65oC</v>
      </c>
      <c r="B146" s="316" t="str">
        <f>HP_1!B96</f>
        <v>Yes</v>
      </c>
      <c r="C146" s="311" t="str" cm="1">
        <f t="array" aca="1" ref="C146" ca="1">INDIRECT($F146&amp;C$90&amp;"!"&amp;$G146)</f>
        <v>Yes</v>
      </c>
      <c r="D146" s="311" t="str" cm="1">
        <f t="array" aca="1" ref="D146" ca="1">INDIRECT($F146&amp;D$90&amp;"!"&amp;$G146)</f>
        <v>Yes</v>
      </c>
      <c r="E146" s="308" t="str">
        <f t="shared" ca="1" si="2"/>
        <v>Yes</v>
      </c>
      <c r="F146" s="305" t="str">
        <f t="shared" ca="1" si="3"/>
        <v>HP_</v>
      </c>
      <c r="G146" s="305" t="str">
        <f t="shared" ca="1" si="4"/>
        <v>B96</v>
      </c>
      <c r="H146" s="305" t="str">
        <f t="shared" ca="1" si="5"/>
        <v>HP_1!B96</v>
      </c>
    </row>
    <row r="147" spans="1:8">
      <c r="A147" s="304" t="str">
        <f>HP_1!A100</f>
        <v>Coefficient of Performance</v>
      </c>
      <c r="B147" s="316">
        <f>HP_1!B100</f>
        <v>3.2</v>
      </c>
      <c r="C147" s="311" cm="1">
        <f t="array" aca="1" ref="C147" ca="1">INDIRECT($F147&amp;C$90&amp;"!"&amp;$G147)</f>
        <v>3.2</v>
      </c>
      <c r="D147" s="311" cm="1">
        <f t="array" aca="1" ref="D147" ca="1">INDIRECT($F147&amp;D$90&amp;"!"&amp;$G147)</f>
        <v>3.2</v>
      </c>
      <c r="E147" s="310">
        <f t="shared" ca="1" si="2"/>
        <v>3.2</v>
      </c>
      <c r="F147" s="305" t="str">
        <f t="shared" ca="1" si="3"/>
        <v>HP_</v>
      </c>
      <c r="G147" s="305" t="str">
        <f t="shared" ca="1" si="4"/>
        <v>B100</v>
      </c>
      <c r="H147" s="305" t="str">
        <f t="shared" ca="1" si="5"/>
        <v>HP_1!B100</v>
      </c>
    </row>
    <row r="148" spans="1:8">
      <c r="A148" s="304" t="str">
        <f>HP_1!A101</f>
        <v>Reference Hot Water Temperature</v>
      </c>
      <c r="B148" s="316">
        <f>HP_1!B101</f>
        <v>54</v>
      </c>
      <c r="C148" s="311" cm="1">
        <f t="array" aca="1" ref="C148" ca="1">INDIRECT($F148&amp;C$90&amp;"!"&amp;$G148)</f>
        <v>54</v>
      </c>
      <c r="D148" s="311" cm="1">
        <f t="array" aca="1" ref="D148" ca="1">INDIRECT($F148&amp;D$90&amp;"!"&amp;$G148)</f>
        <v>54</v>
      </c>
      <c r="E148" s="310">
        <f t="shared" ca="1" si="2"/>
        <v>54</v>
      </c>
      <c r="F148" s="305" t="str">
        <f t="shared" ca="1" si="3"/>
        <v>HP_</v>
      </c>
      <c r="G148" s="305" t="str">
        <f t="shared" ca="1" si="4"/>
        <v>B101</v>
      </c>
      <c r="H148" s="305" t="str">
        <f t="shared" ca="1" si="5"/>
        <v>HP_1!B101</v>
      </c>
    </row>
    <row r="149" spans="1:8">
      <c r="A149" s="304" t="str">
        <f>HP_1!A102</f>
        <v xml:space="preserve">Heating Capacity DHW </v>
      </c>
      <c r="B149" s="316">
        <f>HP_1!B102</f>
        <v>7</v>
      </c>
      <c r="C149" s="311" cm="1">
        <f t="array" aca="1" ref="C149" ca="1">INDIRECT($F149&amp;C$90&amp;"!"&amp;$G149)</f>
        <v>7</v>
      </c>
      <c r="D149" s="311" cm="1">
        <f t="array" aca="1" ref="D149" ca="1">INDIRECT($F149&amp;D$90&amp;"!"&amp;$G149)</f>
        <v>7</v>
      </c>
      <c r="E149" s="310">
        <f t="shared" ca="1" si="2"/>
        <v>7</v>
      </c>
      <c r="F149" s="305" t="str">
        <f t="shared" ca="1" si="3"/>
        <v>HP_</v>
      </c>
      <c r="G149" s="305" t="str">
        <f t="shared" ca="1" si="4"/>
        <v>B102</v>
      </c>
      <c r="H149" s="305" t="str">
        <f t="shared" ca="1" si="5"/>
        <v>HP_1!B102</v>
      </c>
    </row>
    <row r="150" spans="1:8">
      <c r="A150" s="304">
        <f>HP_1!A103</f>
        <v>0</v>
      </c>
      <c r="B150" s="316">
        <f>HP_1!B103</f>
        <v>0</v>
      </c>
      <c r="C150" s="311" cm="1">
        <f t="array" aca="1" ref="C150" ca="1">INDIRECT($F150&amp;C$90&amp;"!"&amp;$G150)</f>
        <v>0</v>
      </c>
      <c r="D150" s="311" cm="1">
        <f t="array" aca="1" ref="D150" ca="1">INDIRECT($F150&amp;D$90&amp;"!"&amp;$G150)</f>
        <v>0</v>
      </c>
      <c r="E150" s="310">
        <f t="shared" ca="1" si="2"/>
        <v>0</v>
      </c>
      <c r="F150" s="305" t="str">
        <f t="shared" ca="1" si="3"/>
        <v>HP_</v>
      </c>
      <c r="G150" s="305" t="str">
        <f t="shared" ca="1" si="4"/>
        <v>B103</v>
      </c>
      <c r="H150" s="305" t="str">
        <f t="shared" ca="1" si="5"/>
        <v>HP_1!B103</v>
      </c>
    </row>
    <row r="151" spans="1:8" ht="24">
      <c r="A151" s="304" t="str">
        <f>HP_1!A104</f>
        <v>Results: See DEAP Entries tab for detail on results for use in DEAP</v>
      </c>
      <c r="B151" s="316">
        <f>HP_1!B104</f>
        <v>0</v>
      </c>
      <c r="C151" s="311" cm="1">
        <f t="array" aca="1" ref="C151" ca="1">INDIRECT($F151&amp;C$90&amp;"!"&amp;$G151)</f>
        <v>0</v>
      </c>
      <c r="D151" s="311" cm="1">
        <f t="array" aca="1" ref="D151" ca="1">INDIRECT($F151&amp;D$90&amp;"!"&amp;$G151)</f>
        <v>0</v>
      </c>
      <c r="E151" s="310">
        <f t="shared" ca="1" si="2"/>
        <v>0</v>
      </c>
      <c r="F151" s="305" t="str">
        <f t="shared" ca="1" si="3"/>
        <v>HP_</v>
      </c>
      <c r="G151" s="305" t="str">
        <f t="shared" ca="1" si="4"/>
        <v>B104</v>
      </c>
      <c r="H151" s="305" t="str">
        <f t="shared" ca="1" si="5"/>
        <v>HP_1!B104</v>
      </c>
    </row>
    <row r="152" spans="1:8">
      <c r="A152" s="304" t="str">
        <f>HP_1!A105</f>
        <v>Results</v>
      </c>
      <c r="B152" s="316">
        <f>HP_1!B105</f>
        <v>0</v>
      </c>
      <c r="C152" s="311" cm="1">
        <f t="array" aca="1" ref="C152" ca="1">INDIRECT($F152&amp;C$90&amp;"!"&amp;$G152)</f>
        <v>0</v>
      </c>
      <c r="D152" s="311" cm="1">
        <f t="array" aca="1" ref="D152" ca="1">INDIRECT($F152&amp;D$90&amp;"!"&amp;$G152)</f>
        <v>0</v>
      </c>
      <c r="E152" s="310">
        <f t="shared" ca="1" si="2"/>
        <v>0</v>
      </c>
      <c r="F152" s="305" t="str">
        <f t="shared" ca="1" si="3"/>
        <v>HP_</v>
      </c>
      <c r="G152" s="305" t="str">
        <f t="shared" ca="1" si="4"/>
        <v>B105</v>
      </c>
      <c r="H152" s="305" t="str">
        <f t="shared" ca="1" si="5"/>
        <v>HP_1!B105</v>
      </c>
    </row>
    <row r="153" spans="1:8">
      <c r="A153" s="304" t="str">
        <f>HP_1!A106</f>
        <v>Efficiency of Main Heating System</v>
      </c>
      <c r="B153" s="316" t="e">
        <f>HP_1!B106</f>
        <v>#DIV/0!</v>
      </c>
      <c r="C153" s="311" t="e" cm="1">
        <f t="array" aca="1" ref="C153" ca="1">INDIRECT($F153&amp;C$90&amp;"!"&amp;$G153)</f>
        <v>#VALUE!</v>
      </c>
      <c r="D153" s="311" t="e" cm="1">
        <f t="array" aca="1" ref="D153" ca="1">INDIRECT($F153&amp;D$90&amp;"!"&amp;$G153)</f>
        <v>#VALUE!</v>
      </c>
      <c r="E153" s="310" t="e">
        <f t="shared" ca="1" si="2"/>
        <v>#VALUE!</v>
      </c>
      <c r="F153" s="305" t="str">
        <f t="shared" ca="1" si="3"/>
        <v>HP_</v>
      </c>
      <c r="G153" s="305" t="str">
        <f t="shared" ca="1" si="4"/>
        <v>B106</v>
      </c>
      <c r="H153" s="305" t="str">
        <f t="shared" ca="1" si="5"/>
        <v>HP_1!B106</v>
      </c>
    </row>
    <row r="154" spans="1:8">
      <c r="A154" s="304" t="str">
        <f>HP_1!A107</f>
        <v>Efficiency Adjustment Factor - Main Heating</v>
      </c>
      <c r="B154" s="316">
        <f>HP_1!B107</f>
        <v>1</v>
      </c>
      <c r="C154" s="311" cm="1">
        <f t="array" aca="1" ref="C154" ca="1">INDIRECT($F154&amp;C$90&amp;"!"&amp;$G154)</f>
        <v>1</v>
      </c>
      <c r="D154" s="311" cm="1">
        <f t="array" aca="1" ref="D154" ca="1">INDIRECT($F154&amp;D$90&amp;"!"&amp;$G154)</f>
        <v>1</v>
      </c>
      <c r="E154" s="310">
        <f t="shared" ca="1" si="2"/>
        <v>1</v>
      </c>
      <c r="F154" s="305" t="str">
        <f t="shared" ca="1" si="3"/>
        <v>HP_</v>
      </c>
      <c r="G154" s="305" t="str">
        <f t="shared" ca="1" si="4"/>
        <v>B107</v>
      </c>
      <c r="H154" s="305" t="str">
        <f t="shared" ca="1" si="5"/>
        <v>HP_1!B107</v>
      </c>
    </row>
    <row r="155" spans="1:8">
      <c r="A155" s="304" t="str">
        <f>HP_1!A108</f>
        <v>Efficiency of Main Hot Water System</v>
      </c>
      <c r="B155" s="316" t="e">
        <f>HP_1!B108</f>
        <v>#DIV/0!</v>
      </c>
      <c r="C155" s="311" t="e" cm="1">
        <f t="array" aca="1" ref="C155" ca="1">INDIRECT($F155&amp;C$90&amp;"!"&amp;$G155)</f>
        <v>#DIV/0!</v>
      </c>
      <c r="D155" s="311" t="e" cm="1">
        <f t="array" aca="1" ref="D155" ca="1">INDIRECT($F155&amp;D$90&amp;"!"&amp;$G155)</f>
        <v>#DIV/0!</v>
      </c>
      <c r="E155" s="310" t="e">
        <f t="shared" ca="1" si="2"/>
        <v>#DIV/0!</v>
      </c>
      <c r="F155" s="305" t="str">
        <f t="shared" ca="1" si="3"/>
        <v>HP_</v>
      </c>
      <c r="G155" s="305" t="str">
        <f t="shared" ca="1" si="4"/>
        <v>B108</v>
      </c>
      <c r="H155" s="305" t="str">
        <f t="shared" ca="1" si="5"/>
        <v>HP_1!B108</v>
      </c>
    </row>
    <row r="156" spans="1:8" ht="24">
      <c r="A156" s="304" t="str">
        <f>HP_1!A109</f>
        <v>Efficiency Adjustment Factor - Main Hot Water</v>
      </c>
      <c r="B156" s="316">
        <f>HP_1!B109</f>
        <v>1</v>
      </c>
      <c r="C156" s="311" cm="1">
        <f t="array" aca="1" ref="C156" ca="1">INDIRECT($F156&amp;C$90&amp;"!"&amp;$G156)</f>
        <v>1</v>
      </c>
      <c r="D156" s="311" cm="1">
        <f t="array" aca="1" ref="D156" ca="1">INDIRECT($F156&amp;D$90&amp;"!"&amp;$G156)</f>
        <v>1</v>
      </c>
      <c r="E156" s="310">
        <f t="shared" ca="1" si="2"/>
        <v>1</v>
      </c>
      <c r="F156" s="305" t="str">
        <f t="shared" ca="1" si="3"/>
        <v>HP_</v>
      </c>
      <c r="G156" s="305" t="str">
        <f t="shared" ca="1" si="4"/>
        <v>B109</v>
      </c>
      <c r="H156" s="305" t="str">
        <f t="shared" ca="1" si="5"/>
        <v>HP_1!B109</v>
      </c>
    </row>
    <row r="157" spans="1:8">
      <c r="A157" s="304">
        <f>HP_1!A110</f>
        <v>0</v>
      </c>
      <c r="B157" s="316">
        <f>HP_1!B110</f>
        <v>0</v>
      </c>
      <c r="C157" s="311" cm="1">
        <f t="array" aca="1" ref="C157" ca="1">INDIRECT($F157&amp;C$90&amp;"!"&amp;$G157)</f>
        <v>0</v>
      </c>
      <c r="D157" s="311" cm="1">
        <f t="array" aca="1" ref="D157" ca="1">INDIRECT($F157&amp;D$90&amp;"!"&amp;$G157)</f>
        <v>0</v>
      </c>
      <c r="E157" s="310">
        <f t="shared" ref="E157:E185" ca="1" si="6">VLOOKUP(A157,A157:D157,$K$1+1,FALSE)</f>
        <v>0</v>
      </c>
      <c r="F157" s="305" t="str">
        <f t="shared" ref="F157:F185" ca="1" si="7">LEFT(H157,FIND("1",H157)-1)</f>
        <v>HP_</v>
      </c>
      <c r="G157" s="305" t="str">
        <f t="shared" ref="G157:G185" ca="1" si="8">RIGHT(H157,LEN(H157)-FIND("!",H157))</f>
        <v>B110</v>
      </c>
      <c r="H157" s="305" t="str">
        <f t="shared" ref="H157:H185" ca="1" si="9">SUBSTITUTE( _xlfn.FORMULATEXT(B157),"=","")</f>
        <v>HP_1!B110</v>
      </c>
    </row>
    <row r="158" spans="1:8" ht="24">
      <c r="A158" s="304" t="str">
        <f>HP_1!A111</f>
        <v>% Renewable Contribution from Exhaust Heat Pump for Space Heating</v>
      </c>
      <c r="B158" s="316">
        <f>HP_1!B111</f>
        <v>1</v>
      </c>
      <c r="C158" s="311" cm="1">
        <f t="array" aca="1" ref="C158" ca="1">INDIRECT($F158&amp;C$90&amp;"!"&amp;$G158)</f>
        <v>1</v>
      </c>
      <c r="D158" s="311" cm="1">
        <f t="array" aca="1" ref="D158" ca="1">INDIRECT($F158&amp;D$90&amp;"!"&amp;$G158)</f>
        <v>1</v>
      </c>
      <c r="E158" s="310">
        <f t="shared" ca="1" si="6"/>
        <v>1</v>
      </c>
      <c r="F158" s="305" t="str">
        <f t="shared" ca="1" si="7"/>
        <v>HP_</v>
      </c>
      <c r="G158" s="305" t="str">
        <f t="shared" ca="1" si="8"/>
        <v>B111</v>
      </c>
      <c r="H158" s="305" t="str">
        <f t="shared" ca="1" si="9"/>
        <v>HP_1!B111</v>
      </c>
    </row>
    <row r="159" spans="1:8" ht="24">
      <c r="A159" s="304" t="str">
        <f>HP_1!A112</f>
        <v>% Renewable Contribution from Exhaust Heat Pump for Water Heating</v>
      </c>
      <c r="B159" s="316">
        <f>HP_1!B112</f>
        <v>1</v>
      </c>
      <c r="C159" s="311" cm="1">
        <f t="array" aca="1" ref="C159" ca="1">INDIRECT($F159&amp;C$90&amp;"!"&amp;$G159)</f>
        <v>1</v>
      </c>
      <c r="D159" s="311" cm="1">
        <f t="array" aca="1" ref="D159" ca="1">INDIRECT($F159&amp;D$90&amp;"!"&amp;$G159)</f>
        <v>1</v>
      </c>
      <c r="E159" s="310">
        <f t="shared" ca="1" si="6"/>
        <v>1</v>
      </c>
      <c r="F159" s="305" t="str">
        <f t="shared" ca="1" si="7"/>
        <v>HP_</v>
      </c>
      <c r="G159" s="305" t="str">
        <f t="shared" ca="1" si="8"/>
        <v>B112</v>
      </c>
      <c r="H159" s="305" t="str">
        <f t="shared" ca="1" si="9"/>
        <v>HP_1!B112</v>
      </c>
    </row>
    <row r="160" spans="1:8">
      <c r="A160" s="304">
        <f>HP_1!A113</f>
        <v>0</v>
      </c>
      <c r="B160" s="316">
        <f>HP_1!B113</f>
        <v>0</v>
      </c>
      <c r="C160" s="311" cm="1">
        <f t="array" aca="1" ref="C160" ca="1">INDIRECT($F160&amp;C$90&amp;"!"&amp;$G160)</f>
        <v>0</v>
      </c>
      <c r="D160" s="311" cm="1">
        <f t="array" aca="1" ref="D160" ca="1">INDIRECT($F160&amp;D$90&amp;"!"&amp;$G160)</f>
        <v>0</v>
      </c>
      <c r="E160" s="310">
        <f t="shared" ca="1" si="6"/>
        <v>0</v>
      </c>
      <c r="F160" s="305" t="str">
        <f t="shared" ca="1" si="7"/>
        <v>HP_</v>
      </c>
      <c r="G160" s="305" t="str">
        <f t="shared" ca="1" si="8"/>
        <v>B113</v>
      </c>
      <c r="H160" s="305" t="str">
        <f t="shared" ca="1" si="9"/>
        <v>HP_1!B113</v>
      </c>
    </row>
    <row r="161" spans="1:8">
      <c r="A161" s="304">
        <f>HP_1!A114</f>
        <v>0</v>
      </c>
      <c r="B161" s="316">
        <f>HP_1!B114</f>
        <v>0</v>
      </c>
      <c r="C161" s="311" cm="1">
        <f t="array" aca="1" ref="C161" ca="1">INDIRECT($F161&amp;C$90&amp;"!"&amp;$G161)</f>
        <v>0</v>
      </c>
      <c r="D161" s="311" cm="1">
        <f t="array" aca="1" ref="D161" ca="1">INDIRECT($F161&amp;D$90&amp;"!"&amp;$G161)</f>
        <v>0</v>
      </c>
      <c r="E161" s="310">
        <f t="shared" ca="1" si="6"/>
        <v>0</v>
      </c>
      <c r="F161" s="305" t="str">
        <f t="shared" ca="1" si="7"/>
        <v>HP_</v>
      </c>
      <c r="G161" s="305" t="str">
        <f t="shared" ca="1" si="8"/>
        <v>B114</v>
      </c>
      <c r="H161" s="305" t="str">
        <f t="shared" ca="1" si="9"/>
        <v>HP_1!B114</v>
      </c>
    </row>
    <row r="162" spans="1:8">
      <c r="A162" s="304" t="str">
        <f>HP_1!A115</f>
        <v>% of space heating Provided by Heat Pump</v>
      </c>
      <c r="B162" s="316" t="e">
        <f>HP_1!B115</f>
        <v>#DIV/0!</v>
      </c>
      <c r="C162" s="311" t="e" cm="1">
        <f t="array" aca="1" ref="C162" ca="1">INDIRECT($F162&amp;C$90&amp;"!"&amp;$G162)</f>
        <v>#VALUE!</v>
      </c>
      <c r="D162" s="311" t="e" cm="1">
        <f t="array" aca="1" ref="D162" ca="1">INDIRECT($F162&amp;D$90&amp;"!"&amp;$G162)</f>
        <v>#VALUE!</v>
      </c>
      <c r="E162" s="310" t="e">
        <f t="shared" ca="1" si="6"/>
        <v>#VALUE!</v>
      </c>
      <c r="F162" s="305" t="str">
        <f t="shared" ca="1" si="7"/>
        <v>HP_</v>
      </c>
      <c r="G162" s="305" t="str">
        <f t="shared" ca="1" si="8"/>
        <v>B115</v>
      </c>
      <c r="H162" s="305" t="str">
        <f t="shared" ca="1" si="9"/>
        <v>HP_1!B115</v>
      </c>
    </row>
    <row r="163" spans="1:8">
      <c r="A163" s="304" t="str">
        <f>HP_1!A116</f>
        <v>% of Hot Water Provided by Heat Pump</v>
      </c>
      <c r="B163" s="316" t="e">
        <f>HP_1!B116</f>
        <v>#VALUE!</v>
      </c>
      <c r="C163" s="311" cm="1">
        <f t="array" aca="1" ref="C163" ca="1">INDIRECT($F163&amp;C$90&amp;"!"&amp;$G163)</f>
        <v>-0.18181818181818188</v>
      </c>
      <c r="D163" s="311" cm="1">
        <f t="array" aca="1" ref="D163" ca="1">INDIRECT($F163&amp;D$90&amp;"!"&amp;$G163)</f>
        <v>-0.18181818181818188</v>
      </c>
      <c r="E163" s="310">
        <f t="shared" ca="1" si="6"/>
        <v>-0.18181818181818188</v>
      </c>
      <c r="F163" s="305" t="str">
        <f t="shared" ca="1" si="7"/>
        <v>HP_</v>
      </c>
      <c r="G163" s="305" t="str">
        <f t="shared" ca="1" si="8"/>
        <v>B116</v>
      </c>
      <c r="H163" s="305" t="str">
        <f t="shared" ca="1" si="9"/>
        <v>HP_1!B116</v>
      </c>
    </row>
    <row r="164" spans="1:8">
      <c r="A164" s="304">
        <f>HP_1!A117</f>
        <v>0</v>
      </c>
      <c r="B164" s="316">
        <f>HP_1!B117</f>
        <v>0</v>
      </c>
      <c r="C164" s="311" cm="1">
        <f t="array" aca="1" ref="C164" ca="1">INDIRECT($F164&amp;C$90&amp;"!"&amp;$G164)</f>
        <v>0</v>
      </c>
      <c r="D164" s="311" cm="1">
        <f t="array" aca="1" ref="D164" ca="1">INDIRECT($F164&amp;D$90&amp;"!"&amp;$G164)</f>
        <v>0</v>
      </c>
      <c r="E164" s="310">
        <f t="shared" ca="1" si="6"/>
        <v>0</v>
      </c>
      <c r="F164" s="305" t="str">
        <f t="shared" ca="1" si="7"/>
        <v>HP_</v>
      </c>
      <c r="G164" s="305" t="str">
        <f t="shared" ca="1" si="8"/>
        <v>B117</v>
      </c>
      <c r="H164" s="305" t="str">
        <f t="shared" ca="1" si="9"/>
        <v>HP_1!B117</v>
      </c>
    </row>
    <row r="165" spans="1:8" ht="24">
      <c r="A165" s="304" t="str">
        <f>HP_1!A118</f>
        <v>Calculated environmental energy in this dwelling</v>
      </c>
      <c r="B165" s="316">
        <f>HP_1!B118</f>
        <v>0</v>
      </c>
      <c r="C165" s="311" cm="1">
        <f t="array" aca="1" ref="C165" ca="1">INDIRECT($F165&amp;C$90&amp;"!"&amp;$G165)</f>
        <v>0</v>
      </c>
      <c r="D165" s="311" cm="1">
        <f t="array" aca="1" ref="D165" ca="1">INDIRECT($F165&amp;D$90&amp;"!"&amp;$G165)</f>
        <v>0</v>
      </c>
      <c r="E165" s="310">
        <f t="shared" ca="1" si="6"/>
        <v>0</v>
      </c>
      <c r="F165" s="305" t="str">
        <f t="shared" ca="1" si="7"/>
        <v>HP_</v>
      </c>
      <c r="G165" s="305" t="str">
        <f t="shared" ca="1" si="8"/>
        <v>B118</v>
      </c>
      <c r="H165" s="305" t="str">
        <f t="shared" ca="1" si="9"/>
        <v>HP_1!B118</v>
      </c>
    </row>
    <row r="166" spans="1:8">
      <c r="A166" s="304">
        <f>HP_1!A119</f>
        <v>0</v>
      </c>
      <c r="B166" s="316">
        <f>HP_1!B119</f>
        <v>0</v>
      </c>
      <c r="C166" s="311" cm="1">
        <f t="array" aca="1" ref="C166" ca="1">INDIRECT($F166&amp;C$90&amp;"!"&amp;$G166)</f>
        <v>0</v>
      </c>
      <c r="D166" s="311" cm="1">
        <f t="array" aca="1" ref="D166" ca="1">INDIRECT($F166&amp;D$90&amp;"!"&amp;$G166)</f>
        <v>0</v>
      </c>
      <c r="E166" s="310">
        <f t="shared" ca="1" si="6"/>
        <v>0</v>
      </c>
      <c r="F166" s="305" t="str">
        <f t="shared" ca="1" si="7"/>
        <v>HP_</v>
      </c>
      <c r="G166" s="305" t="str">
        <f t="shared" ca="1" si="8"/>
        <v>B119</v>
      </c>
      <c r="H166" s="305" t="str">
        <f t="shared" ca="1" si="9"/>
        <v>HP_1!B119</v>
      </c>
    </row>
    <row r="167" spans="1:8" ht="36">
      <c r="A167" s="304" t="str">
        <f>HP_1!A120</f>
        <v>Heat pump standalone without backup (not accounting for Exhaust adjustment)</v>
      </c>
      <c r="B167" s="316" t="str">
        <f>HP_1!B120</f>
        <v>Heat Pump Efficiency</v>
      </c>
      <c r="C167" s="311" t="str" cm="1">
        <f t="array" aca="1" ref="C167" ca="1">INDIRECT($F167&amp;C$90&amp;"!"&amp;$G167)</f>
        <v>Heat Pump Efficiency</v>
      </c>
      <c r="D167" s="311" t="str" cm="1">
        <f t="array" aca="1" ref="D167" ca="1">INDIRECT($F167&amp;D$90&amp;"!"&amp;$G167)</f>
        <v>Heat Pump Efficiency</v>
      </c>
      <c r="E167" s="310" t="str">
        <f t="shared" ca="1" si="6"/>
        <v>Heat Pump Efficiency</v>
      </c>
      <c r="F167" s="305" t="str">
        <f t="shared" ca="1" si="7"/>
        <v>HP_</v>
      </c>
      <c r="G167" s="305" t="str">
        <f t="shared" ca="1" si="8"/>
        <v>B120</v>
      </c>
      <c r="H167" s="305" t="str">
        <f t="shared" ca="1" si="9"/>
        <v>HP_1!B120</v>
      </c>
    </row>
    <row r="168" spans="1:8">
      <c r="A168" s="304" t="str">
        <f>HP_1!A121</f>
        <v>Space heating</v>
      </c>
      <c r="B168" s="316" t="e">
        <f>HP_1!B121</f>
        <v>#DIV/0!</v>
      </c>
      <c r="C168" s="311" t="e" cm="1">
        <f t="array" aca="1" ref="C168" ca="1">INDIRECT($F168&amp;C$90&amp;"!"&amp;$G168)</f>
        <v>#VALUE!</v>
      </c>
      <c r="D168" s="311" t="e" cm="1">
        <f t="array" aca="1" ref="D168" ca="1">INDIRECT($F168&amp;D$90&amp;"!"&amp;$G168)</f>
        <v>#VALUE!</v>
      </c>
      <c r="E168" s="310" t="e">
        <f t="shared" ca="1" si="6"/>
        <v>#VALUE!</v>
      </c>
      <c r="F168" s="305" t="str">
        <f t="shared" ca="1" si="7"/>
        <v>HP_</v>
      </c>
      <c r="G168" s="305" t="str">
        <f t="shared" ca="1" si="8"/>
        <v>B121</v>
      </c>
      <c r="H168" s="305" t="str">
        <f t="shared" ca="1" si="9"/>
        <v>HP_1!B121</v>
      </c>
    </row>
    <row r="169" spans="1:8">
      <c r="A169" s="304" t="str">
        <f>HP_1!A122</f>
        <v>Water heating</v>
      </c>
      <c r="B169" s="316">
        <f>HP_1!B122</f>
        <v>0</v>
      </c>
      <c r="C169" s="311" cm="1">
        <f t="array" aca="1" ref="C169" ca="1">INDIRECT($F169&amp;C$90&amp;"!"&amp;$G169)</f>
        <v>0</v>
      </c>
      <c r="D169" s="311" cm="1">
        <f t="array" aca="1" ref="D169" ca="1">INDIRECT($F169&amp;D$90&amp;"!"&amp;$G169)</f>
        <v>0</v>
      </c>
      <c r="E169" s="310">
        <f t="shared" ca="1" si="6"/>
        <v>0</v>
      </c>
      <c r="F169" s="305" t="str">
        <f t="shared" ca="1" si="7"/>
        <v>HP_</v>
      </c>
      <c r="G169" s="305" t="str">
        <f t="shared" ca="1" si="8"/>
        <v>B122</v>
      </c>
      <c r="H169" s="305" t="str">
        <f t="shared" ca="1" si="9"/>
        <v>HP_1!B122</v>
      </c>
    </row>
    <row r="170" spans="1:8" ht="36">
      <c r="A170" s="304" t="str">
        <f>HP_1!A123</f>
        <v>Heat pump with backup (not accounting for Exhaust adjustment)</v>
      </c>
      <c r="B170" s="316" t="str">
        <f>HP_1!B123</f>
        <v>Heat Pump Efficiency</v>
      </c>
      <c r="C170" s="311" t="str" cm="1">
        <f t="array" aca="1" ref="C170" ca="1">INDIRECT($F170&amp;C$90&amp;"!"&amp;$G170)</f>
        <v>Heat Pump Efficiency</v>
      </c>
      <c r="D170" s="311" t="str" cm="1">
        <f t="array" aca="1" ref="D170" ca="1">INDIRECT($F170&amp;D$90&amp;"!"&amp;$G170)</f>
        <v>Heat Pump Efficiency</v>
      </c>
      <c r="E170" s="310" t="str">
        <f t="shared" ca="1" si="6"/>
        <v>Heat Pump Efficiency</v>
      </c>
      <c r="F170" s="305" t="str">
        <f t="shared" ca="1" si="7"/>
        <v>HP_</v>
      </c>
      <c r="G170" s="305" t="str">
        <f t="shared" ca="1" si="8"/>
        <v>B123</v>
      </c>
      <c r="H170" s="305" t="str">
        <f t="shared" ca="1" si="9"/>
        <v>HP_1!B123</v>
      </c>
    </row>
    <row r="171" spans="1:8">
      <c r="A171" s="304" t="str">
        <f>HP_1!A124</f>
        <v>Space heating</v>
      </c>
      <c r="B171" s="316" t="e">
        <f>HP_1!B124</f>
        <v>#DIV/0!</v>
      </c>
      <c r="C171" s="311" t="e" cm="1">
        <f t="array" aca="1" ref="C171" ca="1">INDIRECT($F171&amp;C$90&amp;"!"&amp;$G171)</f>
        <v>#VALUE!</v>
      </c>
      <c r="D171" s="311" t="e" cm="1">
        <f t="array" aca="1" ref="D171" ca="1">INDIRECT($F171&amp;D$90&amp;"!"&amp;$G171)</f>
        <v>#VALUE!</v>
      </c>
      <c r="E171" s="310" t="e">
        <f t="shared" ca="1" si="6"/>
        <v>#VALUE!</v>
      </c>
      <c r="F171" s="305" t="str">
        <f t="shared" ca="1" si="7"/>
        <v>HP_</v>
      </c>
      <c r="G171" s="305" t="str">
        <f t="shared" ca="1" si="8"/>
        <v>B124</v>
      </c>
      <c r="H171" s="305" t="str">
        <f t="shared" ca="1" si="9"/>
        <v>HP_1!B124</v>
      </c>
    </row>
    <row r="172" spans="1:8">
      <c r="A172" s="304" t="str">
        <f>HP_1!A125</f>
        <v>Water heating</v>
      </c>
      <c r="B172" s="316" t="e">
        <f>HP_1!B125</f>
        <v>#DIV/0!</v>
      </c>
      <c r="C172" s="311" t="e" cm="1">
        <f t="array" aca="1" ref="C172" ca="1">INDIRECT($F172&amp;C$90&amp;"!"&amp;$G172)</f>
        <v>#DIV/0!</v>
      </c>
      <c r="D172" s="311" t="e" cm="1">
        <f t="array" aca="1" ref="D172" ca="1">INDIRECT($F172&amp;D$90&amp;"!"&amp;$G172)</f>
        <v>#DIV/0!</v>
      </c>
      <c r="E172" s="310" t="e">
        <f t="shared" ca="1" si="6"/>
        <v>#DIV/0!</v>
      </c>
      <c r="F172" s="305" t="str">
        <f t="shared" ca="1" si="7"/>
        <v>HP_</v>
      </c>
      <c r="G172" s="305" t="str">
        <f t="shared" ca="1" si="8"/>
        <v>B125</v>
      </c>
      <c r="H172" s="305" t="str">
        <f t="shared" ca="1" si="9"/>
        <v>HP_1!B125</v>
      </c>
    </row>
    <row r="173" spans="1:8" ht="36">
      <c r="A173" s="304" t="str">
        <f>HP_1!A126</f>
        <v>Additional renewable contribution when discounting backup</v>
      </c>
      <c r="B173" s="316" t="str">
        <f>HP_1!B126</f>
        <v>Adjustment due to backup</v>
      </c>
      <c r="C173" s="311" t="str" cm="1">
        <f t="array" aca="1" ref="C173" ca="1">INDIRECT($F173&amp;C$90&amp;"!"&amp;$G173)</f>
        <v>Adjustment due to backup</v>
      </c>
      <c r="D173" s="311" t="str" cm="1">
        <f t="array" aca="1" ref="D173" ca="1">INDIRECT($F173&amp;D$90&amp;"!"&amp;$G173)</f>
        <v>Adjustment due to backup</v>
      </c>
      <c r="E173" s="310" t="str">
        <f t="shared" ca="1" si="6"/>
        <v>Adjustment due to backup</v>
      </c>
      <c r="F173" s="305" t="str">
        <f t="shared" ca="1" si="7"/>
        <v>HP_</v>
      </c>
      <c r="G173" s="305" t="str">
        <f t="shared" ca="1" si="8"/>
        <v>B126</v>
      </c>
      <c r="H173" s="305" t="str">
        <f t="shared" ca="1" si="9"/>
        <v>HP_1!B126</v>
      </c>
    </row>
    <row r="174" spans="1:8">
      <c r="A174" s="304" t="str">
        <f>HP_1!A127</f>
        <v>Space heating</v>
      </c>
      <c r="B174" s="316" t="e">
        <f>HP_1!B127</f>
        <v>#DIV/0!</v>
      </c>
      <c r="C174" s="311" t="e" cm="1">
        <f t="array" aca="1" ref="C174" ca="1">INDIRECT($F174&amp;C$90&amp;"!"&amp;$G174)</f>
        <v>#VALUE!</v>
      </c>
      <c r="D174" s="311" t="e" cm="1">
        <f t="array" aca="1" ref="D174" ca="1">INDIRECT($F174&amp;D$90&amp;"!"&amp;$G174)</f>
        <v>#VALUE!</v>
      </c>
      <c r="E174" s="310" t="e">
        <f t="shared" ca="1" si="6"/>
        <v>#VALUE!</v>
      </c>
      <c r="F174" s="305" t="str">
        <f t="shared" ca="1" si="7"/>
        <v>HP_</v>
      </c>
      <c r="G174" s="305" t="str">
        <f t="shared" ca="1" si="8"/>
        <v>B127</v>
      </c>
      <c r="H174" s="305" t="str">
        <f t="shared" ca="1" si="9"/>
        <v>HP_1!B127</v>
      </c>
    </row>
    <row r="175" spans="1:8">
      <c r="A175" s="304" t="str">
        <f>HP_1!A128</f>
        <v>Water heating</v>
      </c>
      <c r="B175" s="316" t="e">
        <f>HP_1!B128</f>
        <v>#DIV/0!</v>
      </c>
      <c r="C175" s="311" t="e" cm="1">
        <f t="array" aca="1" ref="C175" ca="1">INDIRECT($F175&amp;C$90&amp;"!"&amp;$G175)</f>
        <v>#DIV/0!</v>
      </c>
      <c r="D175" s="311" t="e" cm="1">
        <f t="array" aca="1" ref="D175" ca="1">INDIRECT($F175&amp;D$90&amp;"!"&amp;$G175)</f>
        <v>#DIV/0!</v>
      </c>
      <c r="E175" s="310" t="e">
        <f t="shared" ca="1" si="6"/>
        <v>#DIV/0!</v>
      </c>
      <c r="F175" s="305" t="str">
        <f t="shared" ca="1" si="7"/>
        <v>HP_</v>
      </c>
      <c r="G175" s="305" t="str">
        <f t="shared" ca="1" si="8"/>
        <v>B128</v>
      </c>
      <c r="H175" s="305" t="str">
        <f t="shared" ca="1" si="9"/>
        <v>HP_1!B128</v>
      </c>
    </row>
    <row r="176" spans="1:8">
      <c r="A176" s="304" t="str">
        <f>HP_1!G111</f>
        <v>Exhaust Air Flow Rate (m3/hr)</v>
      </c>
      <c r="B176" s="316">
        <f>HP_1!G112</f>
        <v>0</v>
      </c>
      <c r="C176" s="311" cm="1">
        <f t="array" aca="1" ref="C176" ca="1">INDIRECT($F176&amp;C$90&amp;"!"&amp;$G176)</f>
        <v>0</v>
      </c>
      <c r="D176" s="311" cm="1">
        <f t="array" aca="1" ref="D176" ca="1">INDIRECT($F176&amp;D$90&amp;"!"&amp;$G176)</f>
        <v>0</v>
      </c>
      <c r="E176" s="310">
        <f t="shared" ca="1" si="6"/>
        <v>0</v>
      </c>
      <c r="F176" s="305" t="str">
        <f t="shared" ca="1" si="7"/>
        <v>HP_</v>
      </c>
      <c r="G176" s="305" t="str">
        <f t="shared" ca="1" si="8"/>
        <v>G112</v>
      </c>
      <c r="H176" s="305" t="str">
        <f t="shared" ca="1" si="9"/>
        <v>HP_1!G112</v>
      </c>
    </row>
    <row r="177" spans="1:8">
      <c r="A177" s="304" t="str">
        <f>HP_1!A187</f>
        <v>DEAP Entries Captured Data</v>
      </c>
      <c r="B177" s="316">
        <f>HP_1!B187</f>
        <v>0</v>
      </c>
      <c r="C177" s="311" cm="1">
        <f t="array" aca="1" ref="C177" ca="1">INDIRECT($F177&amp;C$90&amp;"!"&amp;$G177)</f>
        <v>0</v>
      </c>
      <c r="D177" s="311" cm="1">
        <f t="array" aca="1" ref="D177" ca="1">INDIRECT($F177&amp;D$90&amp;"!"&amp;$G177)</f>
        <v>0</v>
      </c>
      <c r="E177" s="310">
        <f t="shared" ca="1" si="6"/>
        <v>0</v>
      </c>
      <c r="F177" s="305" t="str">
        <f t="shared" ca="1" si="7"/>
        <v>HP_</v>
      </c>
      <c r="G177" s="305" t="str">
        <f t="shared" ca="1" si="8"/>
        <v>B187</v>
      </c>
      <c r="H177" s="305" t="str">
        <f t="shared" ca="1" si="9"/>
        <v>HP_1!B187</v>
      </c>
    </row>
    <row r="178" spans="1:8" ht="24">
      <c r="A178" s="304" t="str">
        <f>HP_1!A188</f>
        <v>Description:</v>
      </c>
      <c r="B178" s="316" t="str">
        <f>HP_1!B188</f>
        <v>Heat pump # 1</v>
      </c>
      <c r="C178" s="311" t="str" cm="1">
        <f t="array" aca="1" ref="C178" ca="1">INDIRECT($F178&amp;C$90&amp;"!"&amp;$G178)</f>
        <v>Heat pump # 1</v>
      </c>
      <c r="D178" s="311" t="str" cm="1">
        <f t="array" aca="1" ref="D178" ca="1">INDIRECT($F178&amp;D$90&amp;"!"&amp;$G178)</f>
        <v>Heat pump # 1</v>
      </c>
      <c r="E178" s="310" t="str">
        <f t="shared" ca="1" si="6"/>
        <v>Heat pump # 1</v>
      </c>
      <c r="F178" s="305" t="str">
        <f t="shared" ca="1" si="7"/>
        <v>HP_</v>
      </c>
      <c r="G178" s="305" t="str">
        <f t="shared" ca="1" si="8"/>
        <v>B188</v>
      </c>
      <c r="H178" s="305" t="str">
        <f t="shared" ca="1" si="9"/>
        <v>HP_1!B188</v>
      </c>
    </row>
    <row r="179" spans="1:8" ht="24">
      <c r="A179" s="304" t="str">
        <f>HP_1!A189</f>
        <v>Type of space heating heat pump</v>
      </c>
      <c r="B179" s="316" t="str">
        <f>HP_1!B189</f>
        <v>Heat Pump</v>
      </c>
      <c r="C179" s="311" t="str" cm="1">
        <f t="array" aca="1" ref="C179" ca="1">INDIRECT($F179&amp;C$90&amp;"!"&amp;$G179)</f>
        <v>Heat Pump</v>
      </c>
      <c r="D179" s="311" t="str" cm="1">
        <f t="array" aca="1" ref="D179" ca="1">INDIRECT($F179&amp;D$90&amp;"!"&amp;$G179)</f>
        <v>Heat Pump</v>
      </c>
      <c r="E179" s="310" t="str">
        <f t="shared" ca="1" si="6"/>
        <v>Heat Pump</v>
      </c>
      <c r="F179" s="305" t="str">
        <f t="shared" ca="1" si="7"/>
        <v>HP_</v>
      </c>
      <c r="G179" s="305" t="str">
        <f t="shared" ca="1" si="8"/>
        <v>B189</v>
      </c>
      <c r="H179" s="305" t="str">
        <f t="shared" ca="1" si="9"/>
        <v>HP_1!B189</v>
      </c>
    </row>
    <row r="180" spans="1:8" ht="24">
      <c r="A180" s="304" t="str">
        <f>HP_1!A190</f>
        <v>Type of water heating heat pump</v>
      </c>
      <c r="B180" s="316" t="str">
        <f>HP_1!B190</f>
        <v>Heat Pump</v>
      </c>
      <c r="C180" s="311" t="str" cm="1">
        <f t="array" aca="1" ref="C180" ca="1">INDIRECT($F180&amp;C$90&amp;"!"&amp;$G180)</f>
        <v>Heat Pump</v>
      </c>
      <c r="D180" s="311" t="str" cm="1">
        <f t="array" aca="1" ref="D180" ca="1">INDIRECT($F180&amp;D$90&amp;"!"&amp;$G180)</f>
        <v>Heat Pump</v>
      </c>
      <c r="E180" s="310" t="str">
        <f t="shared" ca="1" si="6"/>
        <v>Heat Pump</v>
      </c>
      <c r="F180" s="305" t="str">
        <f t="shared" ca="1" si="7"/>
        <v>HP_</v>
      </c>
      <c r="G180" s="305" t="str">
        <f t="shared" ca="1" si="8"/>
        <v>B190</v>
      </c>
      <c r="H180" s="305" t="str">
        <f t="shared" ca="1" si="9"/>
        <v>HP_1!B190</v>
      </c>
    </row>
    <row r="181" spans="1:8" ht="24">
      <c r="A181" s="304" t="str">
        <f>HP_1!A191</f>
        <v xml:space="preserve">% main space heat provided by each heat pump  based on system design </v>
      </c>
      <c r="B181" s="316">
        <f>HP_1!B191</f>
        <v>1</v>
      </c>
      <c r="C181" s="311" cm="1">
        <f t="array" aca="1" ref="C181" ca="1">INDIRECT($F181&amp;C$90&amp;"!"&amp;$G181)</f>
        <v>1</v>
      </c>
      <c r="D181" s="311" cm="1">
        <f t="array" aca="1" ref="D181" ca="1">INDIRECT($F181&amp;D$90&amp;"!"&amp;$G181)</f>
        <v>1</v>
      </c>
      <c r="E181" s="310">
        <f t="shared" ca="1" si="6"/>
        <v>1</v>
      </c>
      <c r="F181" s="305" t="str">
        <f t="shared" ca="1" si="7"/>
        <v>HP_</v>
      </c>
      <c r="G181" s="305" t="str">
        <f t="shared" ca="1" si="8"/>
        <v>B191</v>
      </c>
      <c r="H181" s="305" t="str">
        <f t="shared" ca="1" si="9"/>
        <v>HP_1!B191</v>
      </c>
    </row>
    <row r="182" spans="1:8" ht="24">
      <c r="A182" s="304" t="str">
        <f>HP_1!A192</f>
        <v xml:space="preserve">% main water heat provided by each heat pump  based on system design </v>
      </c>
      <c r="B182" s="316">
        <f>HP_1!B192</f>
        <v>1</v>
      </c>
      <c r="C182" s="311" cm="1">
        <f t="array" aca="1" ref="C182" ca="1">INDIRECT($F182&amp;C$90&amp;"!"&amp;$G182)</f>
        <v>1</v>
      </c>
      <c r="D182" s="311" cm="1">
        <f t="array" aca="1" ref="D182" ca="1">INDIRECT($F182&amp;D$90&amp;"!"&amp;$G182)</f>
        <v>1</v>
      </c>
      <c r="E182" s="310">
        <f t="shared" ca="1" si="6"/>
        <v>1</v>
      </c>
      <c r="F182" s="305" t="str">
        <f t="shared" ca="1" si="7"/>
        <v>HP_</v>
      </c>
      <c r="G182" s="305" t="str">
        <f t="shared" ca="1" si="8"/>
        <v>B192</v>
      </c>
      <c r="H182" s="305" t="str">
        <f t="shared" ca="1" si="9"/>
        <v>HP_1!B192</v>
      </c>
    </row>
    <row r="183" spans="1:8">
      <c r="A183" s="304" t="str">
        <f>HP_1!A193</f>
        <v>Is heat pump source preconditioned?</v>
      </c>
      <c r="B183" s="316" t="str">
        <f>HP_1!B193</f>
        <v>No</v>
      </c>
      <c r="C183" s="311" t="str" cm="1">
        <f t="array" aca="1" ref="C183" ca="1">INDIRECT($F183&amp;C$90&amp;"!"&amp;$G183)</f>
        <v>No</v>
      </c>
      <c r="D183" s="311" t="str" cm="1">
        <f t="array" aca="1" ref="D183" ca="1">INDIRECT($F183&amp;D$90&amp;"!"&amp;$G183)</f>
        <v>No</v>
      </c>
      <c r="E183" s="310" t="str">
        <f t="shared" ca="1" si="6"/>
        <v>No</v>
      </c>
      <c r="F183" s="305" t="str">
        <f t="shared" ca="1" si="7"/>
        <v>HP_</v>
      </c>
      <c r="G183" s="305" t="str">
        <f t="shared" ca="1" si="8"/>
        <v>B193</v>
      </c>
      <c r="H183" s="305" t="str">
        <f t="shared" ca="1" si="9"/>
        <v>HP_1!B193</v>
      </c>
    </row>
    <row r="184" spans="1:8" ht="24">
      <c r="A184" s="304" t="str">
        <f>HP_1!A194</f>
        <v>Is the Heat Pump part of a Group Heating Scheme</v>
      </c>
      <c r="B184" s="316" t="str">
        <f>HP_1!B194</f>
        <v>Yes</v>
      </c>
      <c r="C184" s="311" t="str" cm="1">
        <f t="array" aca="1" ref="C184" ca="1">INDIRECT($F184&amp;C$90&amp;"!"&amp;$G184)</f>
        <v>Yes</v>
      </c>
      <c r="D184" s="311" t="str" cm="1">
        <f t="array" aca="1" ref="D184" ca="1">INDIRECT($F184&amp;D$90&amp;"!"&amp;$G184)</f>
        <v>Yes</v>
      </c>
      <c r="E184" s="310" t="str">
        <f t="shared" ca="1" si="6"/>
        <v>Yes</v>
      </c>
      <c r="F184" s="305" t="str">
        <f t="shared" ca="1" si="7"/>
        <v>HP_</v>
      </c>
      <c r="G184" s="305" t="str">
        <f t="shared" ca="1" si="8"/>
        <v>B194</v>
      </c>
      <c r="H184" s="305" t="str">
        <f t="shared" ca="1" si="9"/>
        <v>HP_1!B194</v>
      </c>
    </row>
    <row r="185" spans="1:8" ht="24">
      <c r="A185" s="304" t="str">
        <f>HP_1!A195</f>
        <v>If "Exhaust Air Heat Pump(s)" what is the total exhaust Air Flow Rate</v>
      </c>
      <c r="B185" s="316">
        <f>HP_1!B195</f>
        <v>0</v>
      </c>
      <c r="C185" s="311" cm="1">
        <f t="array" aca="1" ref="C185" ca="1">INDIRECT($F185&amp;C$90&amp;"!"&amp;$G185)</f>
        <v>0</v>
      </c>
      <c r="D185" s="311" cm="1">
        <f t="array" aca="1" ref="D185" ca="1">INDIRECT($F185&amp;D$90&amp;"!"&amp;$G185)</f>
        <v>0</v>
      </c>
      <c r="E185" s="310">
        <f t="shared" ca="1" si="6"/>
        <v>0</v>
      </c>
      <c r="F185" s="305" t="str">
        <f t="shared" ca="1" si="7"/>
        <v>HP_</v>
      </c>
      <c r="G185" s="305" t="str">
        <f t="shared" ca="1" si="8"/>
        <v>B195</v>
      </c>
      <c r="H185" s="305" t="str">
        <f t="shared" ca="1" si="9"/>
        <v>HP_1!B195</v>
      </c>
    </row>
  </sheetData>
  <sheetProtection algorithmName="SHA-512" hashValue="WI0k5N/yAAHuntsKTNZJDFmN+oYl/MUMVgfWgXw7Nt9lDqzZNj+QJylAzJUuqQh6m/Q3B/drnwZ6GTWRIZobLg==" saltValue="BF9IZoqqSRgmtXHRe0MYSw==" spinCount="100000" sheet="1" objects="1" scenarios="1"/>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F8E5-A67F-44B4-BF4D-8BD798B715C3}">
  <dimension ref="A1:V185"/>
  <sheetViews>
    <sheetView workbookViewId="0">
      <selection activeCell="G17" sqref="G17"/>
    </sheetView>
  </sheetViews>
  <sheetFormatPr defaultColWidth="9.140625" defaultRowHeight="12.75"/>
  <cols>
    <col min="1" max="1" width="35.5703125" customWidth="1"/>
    <col min="2" max="2" width="29.5703125" customWidth="1"/>
    <col min="5" max="5" width="29.5703125" customWidth="1"/>
    <col min="10" max="10" width="16.140625" bestFit="1" customWidth="1"/>
    <col min="12" max="12" width="23" bestFit="1" customWidth="1"/>
    <col min="13" max="13" width="18.42578125" customWidth="1"/>
    <col min="16" max="16" width="13.5703125" customWidth="1"/>
    <col min="21" max="21" width="23.42578125" customWidth="1"/>
    <col min="22" max="22" width="17.42578125" customWidth="1"/>
  </cols>
  <sheetData>
    <row r="1" spans="1:22" ht="18.75" thickBot="1">
      <c r="A1" t="s">
        <v>23</v>
      </c>
      <c r="J1" s="258" t="s">
        <v>200</v>
      </c>
      <c r="K1" s="259">
        <v>3</v>
      </c>
      <c r="M1" s="32"/>
      <c r="N1" s="32"/>
      <c r="P1" t="s">
        <v>589</v>
      </c>
    </row>
    <row r="2" spans="1:22" ht="15.75">
      <c r="A2" s="1" t="s">
        <v>590</v>
      </c>
      <c r="M2" s="32"/>
      <c r="P2" t="s">
        <v>591</v>
      </c>
      <c r="Q2" t="s">
        <v>373</v>
      </c>
      <c r="S2" s="84" t="s">
        <v>592</v>
      </c>
      <c r="T2" s="84" t="s">
        <v>593</v>
      </c>
      <c r="U2" t="s">
        <v>594</v>
      </c>
      <c r="V2" t="s">
        <v>595</v>
      </c>
    </row>
    <row r="3" spans="1:22" ht="15.75">
      <c r="A3" t="s">
        <v>596</v>
      </c>
      <c r="B3" s="317">
        <f ca="1">E141</f>
        <v>0</v>
      </c>
      <c r="E3" t="s">
        <v>597</v>
      </c>
      <c r="M3" s="32"/>
      <c r="P3" t="s">
        <v>213</v>
      </c>
      <c r="Q3">
        <v>0.34499999999999997</v>
      </c>
      <c r="R3">
        <v>7</v>
      </c>
      <c r="S3" s="85" t="s">
        <v>23</v>
      </c>
      <c r="T3" s="85" t="s">
        <v>23</v>
      </c>
      <c r="U3" s="84">
        <f ca="1">IF(E94="Yes",0,IF($B$6=P3,IF($B$3&gt;R3,1,0),0))</f>
        <v>0</v>
      </c>
      <c r="V3" s="84">
        <f ca="1">IF(E94="Yes",0,IF($B$6=P3,IF(E127&gt;R3,1,0),0))</f>
        <v>0</v>
      </c>
    </row>
    <row r="4" spans="1:22" ht="15.75">
      <c r="A4" t="s">
        <v>598</v>
      </c>
      <c r="B4" s="317">
        <f ca="1">E126</f>
        <v>65</v>
      </c>
      <c r="C4" t="s">
        <v>599</v>
      </c>
      <c r="M4" s="32"/>
      <c r="P4" t="s">
        <v>226</v>
      </c>
      <c r="Q4">
        <v>2.1</v>
      </c>
      <c r="R4">
        <v>15</v>
      </c>
      <c r="S4" s="85" t="s">
        <v>23</v>
      </c>
      <c r="T4" s="85" t="s">
        <v>23</v>
      </c>
      <c r="U4" s="84">
        <f ca="1">IF(E94="Yes",0,IF($B$6=P4,IF($B$3&gt;R4,1,0),0))</f>
        <v>0</v>
      </c>
      <c r="V4" s="84">
        <f ca="1">IF(E94="Yes",0,IF($B$6=P4,IF(E127&gt;R4,1,0),0))</f>
        <v>0</v>
      </c>
    </row>
    <row r="5" spans="1:22">
      <c r="A5" t="s">
        <v>600</v>
      </c>
      <c r="B5" s="317">
        <f ca="1">E140</f>
        <v>0</v>
      </c>
      <c r="C5" t="s">
        <v>373</v>
      </c>
      <c r="E5" t="s">
        <v>597</v>
      </c>
      <c r="P5" t="s">
        <v>237</v>
      </c>
      <c r="Q5">
        <v>2.1</v>
      </c>
      <c r="R5">
        <v>15</v>
      </c>
      <c r="S5" s="85" t="s">
        <v>23</v>
      </c>
      <c r="T5" s="85" t="s">
        <v>23</v>
      </c>
      <c r="U5" s="84">
        <f ca="1">IF(E94="Yes",0,IF($B$6=P5,IF($B$3&gt;R5,1,0),0))</f>
        <v>0</v>
      </c>
      <c r="V5" s="84">
        <f ca="1">IF(E94="Yes",0,IF($B$6=P5,IF(E127&gt;R5,1,0),0))</f>
        <v>0</v>
      </c>
    </row>
    <row r="6" spans="1:22">
      <c r="A6" t="s">
        <v>371</v>
      </c>
      <c r="B6" s="319" t="str">
        <f ca="1">E139</f>
        <v>M</v>
      </c>
      <c r="P6" t="s">
        <v>247</v>
      </c>
      <c r="Q6">
        <v>2.1</v>
      </c>
      <c r="R6">
        <v>36</v>
      </c>
      <c r="S6" s="85" t="s">
        <v>23</v>
      </c>
      <c r="T6" s="85" t="s">
        <v>23</v>
      </c>
      <c r="U6" s="84">
        <f ca="1">IF(E94="Yes",0,IF($B$6=P6,IF($B$3&gt;R6,1,0),0))</f>
        <v>0</v>
      </c>
      <c r="V6" s="84">
        <f ca="1">IF(E94="Yes",0,IF($B$6=P6,IF(E127&gt;R6,1,0),0))</f>
        <v>0</v>
      </c>
    </row>
    <row r="7" spans="1:22">
      <c r="A7" t="s">
        <v>601</v>
      </c>
      <c r="B7">
        <f ca="1">VLOOKUP(B6,P3:R13,3,)</f>
        <v>65</v>
      </c>
      <c r="C7" t="s">
        <v>376</v>
      </c>
      <c r="E7" t="s">
        <v>23</v>
      </c>
      <c r="G7" s="86" t="s">
        <v>23</v>
      </c>
      <c r="M7" s="84"/>
      <c r="P7" t="s">
        <v>254</v>
      </c>
      <c r="Q7">
        <v>5.8449999999999998</v>
      </c>
      <c r="R7">
        <v>65</v>
      </c>
      <c r="S7" s="3">
        <f t="shared" ref="S7:S12" ca="1" si="0">R7/(($E$136-10)/30)</f>
        <v>-195</v>
      </c>
      <c r="T7" s="3">
        <f t="shared" ref="T7:T12" si="1">R7/((60-10)/30)</f>
        <v>39</v>
      </c>
      <c r="U7" s="84">
        <f ca="1">IF(E94="Yes",0,IF($B$6=P7,IF($B$3&lt;S7,1,0),0))</f>
        <v>0</v>
      </c>
      <c r="V7" s="84">
        <f ca="1">IF(E94="Yes",0,IF($B$6=P7,IF(E127&lt;T7,1,0),0))</f>
        <v>1</v>
      </c>
    </row>
    <row r="8" spans="1:22">
      <c r="A8" t="s">
        <v>602</v>
      </c>
      <c r="B8">
        <f ca="1">VLOOKUP(B6,P3:Q13,2,)</f>
        <v>5.8449999999999998</v>
      </c>
      <c r="C8" t="s">
        <v>373</v>
      </c>
      <c r="E8" t="s">
        <v>603</v>
      </c>
      <c r="P8" t="s">
        <v>258</v>
      </c>
      <c r="Q8">
        <v>11.654999999999999</v>
      </c>
      <c r="R8">
        <v>130</v>
      </c>
      <c r="S8" s="3">
        <f t="shared" ca="1" si="0"/>
        <v>-390</v>
      </c>
      <c r="T8" s="3">
        <f t="shared" si="1"/>
        <v>78</v>
      </c>
      <c r="U8" s="84">
        <f ca="1">IF(E94="Yes",0,IF($B$6=P8,IF($B$3&lt;S8,1,0),0))</f>
        <v>0</v>
      </c>
      <c r="V8" s="84">
        <f ca="1">IF(E94="Yes",0,IF($B$6=P8,IF(E127&lt;T8,1,0),0))</f>
        <v>0</v>
      </c>
    </row>
    <row r="9" spans="1:22">
      <c r="A9" s="84" t="str">
        <f ca="1">"COP based on "&amp;E122</f>
        <v>COP based on I.S. EN 16147</v>
      </c>
      <c r="B9" s="318">
        <f ca="1">E135</f>
        <v>0</v>
      </c>
      <c r="P9" t="s">
        <v>263</v>
      </c>
      <c r="Q9">
        <v>19.07</v>
      </c>
      <c r="R9">
        <v>210</v>
      </c>
      <c r="S9" s="3">
        <f t="shared" ca="1" si="0"/>
        <v>-630</v>
      </c>
      <c r="T9" s="3">
        <f t="shared" si="1"/>
        <v>126</v>
      </c>
      <c r="U9" s="84">
        <f ca="1">IF(E94="Yes",0,IF($B$6=P9,IF($B$3&lt;S9,1,0),0))</f>
        <v>0</v>
      </c>
      <c r="V9" s="84">
        <f ca="1">IF(E94="Yes",0,IF($B$6=P9,IF(E127&lt;T9,1,0),0))</f>
        <v>0</v>
      </c>
    </row>
    <row r="10" spans="1:22">
      <c r="A10" t="s">
        <v>368</v>
      </c>
      <c r="B10" s="317">
        <f ca="1">E138</f>
        <v>0</v>
      </c>
      <c r="C10" t="s">
        <v>369</v>
      </c>
      <c r="P10" t="s">
        <v>269</v>
      </c>
      <c r="Q10">
        <v>24.53</v>
      </c>
      <c r="R10">
        <v>300</v>
      </c>
      <c r="S10" s="3">
        <f t="shared" ca="1" si="0"/>
        <v>-900</v>
      </c>
      <c r="T10" s="3">
        <f t="shared" si="1"/>
        <v>180</v>
      </c>
      <c r="U10" s="84">
        <f ca="1">IF(E94="Yes",0,IF($B$6=P10,IF($B$3&lt;S10,1,0),0))</f>
        <v>0</v>
      </c>
      <c r="V10" s="84">
        <f ca="1">IF(E94="Yes",0,IF($B$6=P10,IF(E127&lt;T10,1,0),0))</f>
        <v>0</v>
      </c>
    </row>
    <row r="11" spans="1:22">
      <c r="A11" t="s">
        <v>23</v>
      </c>
      <c r="P11" t="s">
        <v>273</v>
      </c>
      <c r="Q11">
        <v>46.76</v>
      </c>
      <c r="R11">
        <v>520</v>
      </c>
      <c r="S11" s="3">
        <f t="shared" ca="1" si="0"/>
        <v>-1560</v>
      </c>
      <c r="T11" s="3">
        <f t="shared" si="1"/>
        <v>312</v>
      </c>
      <c r="U11" s="84">
        <f ca="1">IF(E94="Yes",0,IF($B$6=P11,IF($B$3&lt;S11,1,0),0))</f>
        <v>0</v>
      </c>
      <c r="V11" s="84">
        <f ca="1">IF(E94="Yes",0,IF($B$6=P11,IF(E127&lt;T11,1,0),0))</f>
        <v>0</v>
      </c>
    </row>
    <row r="12" spans="1:22">
      <c r="A12" t="s">
        <v>604</v>
      </c>
      <c r="B12" s="3">
        <f ca="1">IF(E122="I.S. EN 14825/14511",B9,B9*(1+B5/B8))</f>
        <v>0</v>
      </c>
      <c r="E12" s="84" t="s">
        <v>605</v>
      </c>
      <c r="P12" t="s">
        <v>277</v>
      </c>
      <c r="Q12">
        <v>93.52</v>
      </c>
      <c r="R12">
        <v>1040</v>
      </c>
      <c r="S12" s="3">
        <f t="shared" ca="1" si="0"/>
        <v>-3120</v>
      </c>
      <c r="T12" s="3">
        <f t="shared" si="1"/>
        <v>624</v>
      </c>
      <c r="U12" s="84">
        <f ca="1">IF(E94="Yes",0,IF($B$6=P12,IF($B$3&lt;S12,1,0),0))</f>
        <v>0</v>
      </c>
      <c r="V12" s="84">
        <f ca="1">IF(E94="Yes",0,IF($B$6=P12,IF(E127&lt;T12,1,0),0))</f>
        <v>0</v>
      </c>
    </row>
    <row r="13" spans="1:22">
      <c r="P13">
        <v>0</v>
      </c>
    </row>
    <row r="14" spans="1:22" ht="14.25">
      <c r="A14" t="s">
        <v>606</v>
      </c>
      <c r="B14" s="317">
        <f ca="1">E136</f>
        <v>0</v>
      </c>
      <c r="C14" s="84" t="s">
        <v>607</v>
      </c>
      <c r="U14">
        <f ca="1">IF($E$122="I.S. EN 14825/14511",0,SUM(U3:U13))</f>
        <v>0</v>
      </c>
      <c r="V14">
        <f ca="1">IF($E$122="I.S. EN 14825/14511",0,SUM(V3:V13))</f>
        <v>1</v>
      </c>
    </row>
    <row r="15" spans="1:22" ht="14.25">
      <c r="A15" t="s">
        <v>608</v>
      </c>
      <c r="B15" s="317">
        <f ca="1">IF(E122="I.S. EN 14825/14511",B14,E126)</f>
        <v>65</v>
      </c>
      <c r="C15" s="84" t="s">
        <v>607</v>
      </c>
    </row>
    <row r="16" spans="1:22" ht="14.25">
      <c r="A16" t="s">
        <v>609</v>
      </c>
      <c r="B16" s="317">
        <f ca="1">E125</f>
        <v>10</v>
      </c>
      <c r="C16" s="84" t="s">
        <v>607</v>
      </c>
      <c r="M16" s="84"/>
      <c r="P16" t="s">
        <v>23</v>
      </c>
      <c r="U16" s="84" t="s">
        <v>610</v>
      </c>
      <c r="V16" s="84" t="s">
        <v>611</v>
      </c>
    </row>
    <row r="17" spans="1:21" ht="25.5">
      <c r="A17" s="88" t="s">
        <v>612</v>
      </c>
      <c r="B17" s="3">
        <f ca="1">(B15-B14)/(B15-B16)</f>
        <v>1.1818181818181819</v>
      </c>
    </row>
    <row r="18" spans="1:21">
      <c r="U18" s="88" t="s">
        <v>23</v>
      </c>
    </row>
    <row r="19" spans="1:21">
      <c r="A19" t="s">
        <v>613</v>
      </c>
      <c r="B19">
        <f ca="1">IF(E94="No",E123,((E123*E97)/E96))</f>
        <v>0</v>
      </c>
      <c r="C19" t="s">
        <v>92</v>
      </c>
      <c r="I19" s="2"/>
    </row>
    <row r="20" spans="1:21">
      <c r="A20" t="s">
        <v>614</v>
      </c>
      <c r="B20" s="3" t="e">
        <f ca="1">B19/B10</f>
        <v>#DIV/0!</v>
      </c>
      <c r="C20" s="84" t="s">
        <v>313</v>
      </c>
      <c r="M20" s="84"/>
    </row>
    <row r="21" spans="1:21">
      <c r="A21" s="84" t="s">
        <v>615</v>
      </c>
      <c r="B21" s="3">
        <f ca="1">8760*((24-E112)/24)</f>
        <v>2920</v>
      </c>
      <c r="C21" s="84" t="s">
        <v>313</v>
      </c>
      <c r="E21" s="84" t="s">
        <v>616</v>
      </c>
      <c r="M21" s="84"/>
    </row>
    <row r="22" spans="1:21">
      <c r="A22" t="s">
        <v>617</v>
      </c>
      <c r="B22" s="3" t="e">
        <f ca="1">IF((B20-B21)&lt;0,0,(B20-B21))</f>
        <v>#DIV/0!</v>
      </c>
    </row>
    <row r="23" spans="1:21" ht="25.5">
      <c r="A23" s="88" t="s">
        <v>618</v>
      </c>
      <c r="B23" s="3" t="e">
        <f ca="1">(B22*B10)/B19</f>
        <v>#DIV/0!</v>
      </c>
      <c r="M23" s="84"/>
    </row>
    <row r="25" spans="1:21">
      <c r="A25" s="84" t="s">
        <v>619</v>
      </c>
      <c r="B25" s="2" t="e">
        <f ca="1">(B19*(1-B17-B23))/B12</f>
        <v>#DIV/0!</v>
      </c>
      <c r="C25" t="s">
        <v>92</v>
      </c>
      <c r="M25" s="84"/>
    </row>
    <row r="26" spans="1:21">
      <c r="A26" t="s">
        <v>620</v>
      </c>
      <c r="B26" s="2">
        <f ca="1">(B19*B17)/E132</f>
        <v>0</v>
      </c>
      <c r="C26" t="s">
        <v>92</v>
      </c>
      <c r="E26" s="84" t="s">
        <v>621</v>
      </c>
    </row>
    <row r="27" spans="1:21">
      <c r="A27" t="s">
        <v>622</v>
      </c>
      <c r="B27" s="2" t="e">
        <f ca="1">(B19*B23)/E132</f>
        <v>#DIV/0!</v>
      </c>
      <c r="C27" t="s">
        <v>92</v>
      </c>
      <c r="E27" s="84" t="s">
        <v>621</v>
      </c>
    </row>
    <row r="28" spans="1:21">
      <c r="A28" s="84" t="s">
        <v>623</v>
      </c>
      <c r="B28" s="2" t="e">
        <f ca="1">SUM(B25:B27)</f>
        <v>#DIV/0!</v>
      </c>
      <c r="C28" t="s">
        <v>92</v>
      </c>
    </row>
    <row r="30" spans="1:21">
      <c r="A30" s="84" t="s">
        <v>624</v>
      </c>
      <c r="B30" s="89" t="e">
        <f ca="1">B19/B28</f>
        <v>#DIV/0!</v>
      </c>
      <c r="M30" s="84"/>
    </row>
    <row r="31" spans="1:21">
      <c r="F31" s="2"/>
    </row>
    <row r="32" spans="1:21">
      <c r="A32" t="s">
        <v>576</v>
      </c>
      <c r="B32" s="97" t="e">
        <f ca="1">B34-B25</f>
        <v>#DIV/0!</v>
      </c>
      <c r="C32" t="s">
        <v>92</v>
      </c>
    </row>
    <row r="34" spans="1:14">
      <c r="A34" t="s">
        <v>625</v>
      </c>
      <c r="B34" s="87" t="e">
        <f ca="1">B19*(1-B17-B23)</f>
        <v>#DIV/0!</v>
      </c>
      <c r="C34" t="s">
        <v>92</v>
      </c>
    </row>
    <row r="36" spans="1:14">
      <c r="A36" s="84" t="s">
        <v>580</v>
      </c>
      <c r="B36" s="98">
        <f ca="1">IF(LEFT(E119,7)="Exhaust",(B10*(1-1/B9)-(E176*1.2/3600)*(20-7))/(B10*(1-1/B9)),1)</f>
        <v>1</v>
      </c>
    </row>
    <row r="37" spans="1:14">
      <c r="B37" s="85"/>
    </row>
    <row r="38" spans="1:14">
      <c r="A38" t="s">
        <v>579</v>
      </c>
      <c r="B38" s="90" t="e">
        <f ca="1">B32*B36</f>
        <v>#DIV/0!</v>
      </c>
      <c r="C38" t="s">
        <v>92</v>
      </c>
    </row>
    <row r="39" spans="1:14">
      <c r="B39" s="85"/>
      <c r="N39" s="84"/>
    </row>
    <row r="40" spans="1:14">
      <c r="D40" s="99"/>
      <c r="L40" s="92"/>
      <c r="N40" s="84"/>
    </row>
    <row r="42" spans="1:14">
      <c r="A42" s="1" t="s">
        <v>626</v>
      </c>
    </row>
    <row r="43" spans="1:14">
      <c r="A43" t="s">
        <v>613</v>
      </c>
      <c r="B43">
        <f ca="1">B19</f>
        <v>0</v>
      </c>
      <c r="C43" t="s">
        <v>92</v>
      </c>
    </row>
    <row r="44" spans="1:14">
      <c r="A44" t="s">
        <v>627</v>
      </c>
      <c r="B44" s="87">
        <f ca="1">E147</f>
        <v>3.2</v>
      </c>
    </row>
    <row r="45" spans="1:14">
      <c r="A45" t="s">
        <v>368</v>
      </c>
      <c r="B45" s="317">
        <f ca="1">E149</f>
        <v>7</v>
      </c>
      <c r="C45" t="s">
        <v>369</v>
      </c>
    </row>
    <row r="47" spans="1:14">
      <c r="A47" t="s">
        <v>606</v>
      </c>
      <c r="B47" s="317">
        <f ca="1">E148</f>
        <v>54</v>
      </c>
      <c r="C47" t="s">
        <v>599</v>
      </c>
    </row>
    <row r="48" spans="1:14">
      <c r="A48" t="s">
        <v>608</v>
      </c>
      <c r="B48" s="317">
        <f ca="1">E126</f>
        <v>65</v>
      </c>
      <c r="C48" t="s">
        <v>599</v>
      </c>
    </row>
    <row r="49" spans="1:14">
      <c r="A49" t="s">
        <v>609</v>
      </c>
      <c r="B49" s="317">
        <f ca="1">E125</f>
        <v>10</v>
      </c>
      <c r="C49" t="s">
        <v>599</v>
      </c>
    </row>
    <row r="51" spans="1:14">
      <c r="A51" t="s">
        <v>628</v>
      </c>
      <c r="B51" s="3">
        <f ca="1">IF((B48-B47)&lt;=0,0,(B48-B47)/(B48-B49))</f>
        <v>0.2</v>
      </c>
      <c r="E51" t="s">
        <v>629</v>
      </c>
      <c r="L51" s="92"/>
    </row>
    <row r="52" spans="1:14">
      <c r="L52" s="88"/>
      <c r="N52" s="84"/>
    </row>
    <row r="53" spans="1:14">
      <c r="A53" t="s">
        <v>630</v>
      </c>
      <c r="B53" s="2">
        <f ca="1">(B43*(1-B51))/B44</f>
        <v>0</v>
      </c>
      <c r="C53" t="s">
        <v>92</v>
      </c>
      <c r="N53" s="84"/>
    </row>
    <row r="54" spans="1:14">
      <c r="A54" t="s">
        <v>631</v>
      </c>
      <c r="B54" s="2">
        <f ca="1">(B43*B51)/E132</f>
        <v>0</v>
      </c>
      <c r="C54" t="s">
        <v>92</v>
      </c>
      <c r="G54" t="s">
        <v>23</v>
      </c>
      <c r="L54" s="92"/>
    </row>
    <row r="55" spans="1:14">
      <c r="A55" t="s">
        <v>632</v>
      </c>
      <c r="B55" s="2">
        <f ca="1">SUM(B53:B54)</f>
        <v>0</v>
      </c>
      <c r="C55" t="s">
        <v>92</v>
      </c>
    </row>
    <row r="57" spans="1:14">
      <c r="A57" s="84" t="s">
        <v>624</v>
      </c>
      <c r="B57" s="89" t="e">
        <f ca="1">B43/B55</f>
        <v>#DIV/0!</v>
      </c>
    </row>
    <row r="59" spans="1:14">
      <c r="A59" t="s">
        <v>576</v>
      </c>
      <c r="B59" s="90" t="e">
        <f ca="1">IF(B57&gt;2.5,(B57-2.5)*B55,0)</f>
        <v>#DIV/0!</v>
      </c>
      <c r="C59" t="s">
        <v>92</v>
      </c>
    </row>
    <row r="61" spans="1:14">
      <c r="A61" t="s">
        <v>625</v>
      </c>
      <c r="B61" s="87">
        <f ca="1">B43*(1-B51)</f>
        <v>0</v>
      </c>
      <c r="C61" t="s">
        <v>92</v>
      </c>
    </row>
    <row r="63" spans="1:14">
      <c r="A63" t="s">
        <v>633</v>
      </c>
      <c r="B63" s="91" t="e">
        <f ca="1">B61/B53</f>
        <v>#DIV/0!</v>
      </c>
    </row>
    <row r="64" spans="1:14">
      <c r="B64" s="85"/>
    </row>
    <row r="65" spans="1:14">
      <c r="A65" t="s">
        <v>579</v>
      </c>
      <c r="B65" s="90" t="e">
        <f ca="1">IF(B63&lt;2.5,0,(B63-2.5)*B53)</f>
        <v>#DIV/0!</v>
      </c>
      <c r="C65" t="s">
        <v>92</v>
      </c>
    </row>
    <row r="66" spans="1:14">
      <c r="B66" s="85"/>
    </row>
    <row r="67" spans="1:14">
      <c r="L67" s="92"/>
      <c r="N67" s="84"/>
    </row>
    <row r="70" spans="1:14">
      <c r="A70" s="1" t="s">
        <v>634</v>
      </c>
    </row>
    <row r="71" spans="1:14">
      <c r="A71" t="s">
        <v>613</v>
      </c>
      <c r="B71">
        <f ca="1">B19</f>
        <v>0</v>
      </c>
      <c r="C71" t="s">
        <v>92</v>
      </c>
    </row>
    <row r="72" spans="1:14">
      <c r="A72" t="s">
        <v>635</v>
      </c>
      <c r="B72" s="87">
        <f ca="1">E143</f>
        <v>3.33</v>
      </c>
    </row>
    <row r="73" spans="1:14">
      <c r="A73" t="s">
        <v>636</v>
      </c>
      <c r="B73" s="87">
        <f ca="1">IF(AND(E145="No",E146="Yes"),0.7,1)</f>
        <v>0.7</v>
      </c>
    </row>
    <row r="74" spans="1:14">
      <c r="A74" t="s">
        <v>23</v>
      </c>
      <c r="B74" t="s">
        <v>637</v>
      </c>
      <c r="C74" t="s">
        <v>23</v>
      </c>
    </row>
    <row r="75" spans="1:14">
      <c r="A75" s="84" t="s">
        <v>624</v>
      </c>
      <c r="B75" s="89">
        <f ca="1">IF(AND(E145="No",E146="Yes"),B72,(1/(50/(B72*100)+0.5)))</f>
        <v>3.33</v>
      </c>
      <c r="N75" s="84"/>
    </row>
    <row r="76" spans="1:14">
      <c r="A76" s="84"/>
      <c r="B76" s="3"/>
    </row>
    <row r="77" spans="1:14">
      <c r="A77" t="s">
        <v>632</v>
      </c>
      <c r="B77" s="3">
        <f ca="1">B71/B75</f>
        <v>0</v>
      </c>
      <c r="C77" t="s">
        <v>92</v>
      </c>
    </row>
    <row r="79" spans="1:14">
      <c r="A79" t="s">
        <v>576</v>
      </c>
      <c r="B79" s="90">
        <f ca="1">IF(B75&gt;2.5,(B75-2.5)*B77,0)</f>
        <v>0</v>
      </c>
      <c r="C79" t="s">
        <v>92</v>
      </c>
    </row>
    <row r="81" spans="1:14">
      <c r="A81" t="s">
        <v>625</v>
      </c>
      <c r="B81" s="87">
        <f ca="1">IF(B75=B72,B71,B71*0.5)</f>
        <v>0</v>
      </c>
      <c r="C81" t="s">
        <v>92</v>
      </c>
      <c r="E81" s="2"/>
    </row>
    <row r="83" spans="1:14">
      <c r="A83" t="s">
        <v>630</v>
      </c>
      <c r="B83">
        <f ca="1">B81/B72</f>
        <v>0</v>
      </c>
      <c r="C83" t="s">
        <v>92</v>
      </c>
    </row>
    <row r="85" spans="1:14">
      <c r="A85" t="s">
        <v>579</v>
      </c>
      <c r="B85" s="90">
        <f ca="1">IF(B72&lt;2.5,0,(B72-2.5)*B83)</f>
        <v>0</v>
      </c>
      <c r="C85" t="s">
        <v>92</v>
      </c>
      <c r="N85" s="84"/>
    </row>
    <row r="86" spans="1:14">
      <c r="B86" s="85"/>
    </row>
    <row r="87" spans="1:14">
      <c r="L87" s="92"/>
      <c r="N87" s="84"/>
    </row>
    <row r="89" spans="1:14" ht="24">
      <c r="A89" s="283" t="s">
        <v>429</v>
      </c>
      <c r="B89" s="300" t="s">
        <v>430</v>
      </c>
      <c r="C89" s="300" t="s">
        <v>431</v>
      </c>
      <c r="D89" s="300" t="s">
        <v>432</v>
      </c>
      <c r="E89" s="301"/>
      <c r="F89" s="301"/>
      <c r="G89" s="301"/>
      <c r="H89" s="301"/>
    </row>
    <row r="90" spans="1:14" ht="60">
      <c r="A90" s="302" t="s">
        <v>584</v>
      </c>
      <c r="B90" s="302" t="str">
        <f>RIGHT(B89)</f>
        <v>1</v>
      </c>
      <c r="C90" s="302" t="str">
        <f>RIGHT(C89)</f>
        <v>2</v>
      </c>
      <c r="D90" s="302" t="str">
        <f>RIGHT(D89)</f>
        <v>3</v>
      </c>
      <c r="E90" s="302" t="s">
        <v>434</v>
      </c>
      <c r="F90" s="303" t="s">
        <v>177</v>
      </c>
      <c r="G90" s="303" t="s">
        <v>178</v>
      </c>
      <c r="H90" s="303" t="s">
        <v>435</v>
      </c>
    </row>
    <row r="91" spans="1:14">
      <c r="A91" s="304" t="str">
        <f>HP_1!O12</f>
        <v>Same HP for Space and Water Heating</v>
      </c>
      <c r="B91" s="309" t="b">
        <f>HP_1!N12</f>
        <v>1</v>
      </c>
      <c r="C91" s="311" t="b" cm="1">
        <f t="array" aca="1" ref="C91" ca="1">INDIRECT($F91&amp;C$90&amp;"!"&amp;$G91)</f>
        <v>1</v>
      </c>
      <c r="D91" s="311" t="b" cm="1">
        <f t="array" aca="1" ref="D91" ca="1">INDIRECT($F91&amp;D$90&amp;"!"&amp;$G91)</f>
        <v>1</v>
      </c>
      <c r="E91" s="307" t="b">
        <f ca="1">VLOOKUP(A91,A91:D91,$K$1+1,FALSE)</f>
        <v>1</v>
      </c>
      <c r="F91" s="305" t="str">
        <f ca="1">LEFT(H91,FIND("1",H91)-1)</f>
        <v>HP_</v>
      </c>
      <c r="G91" s="305" t="str">
        <f ca="1">RIGHT(H91,LEN(H91)-FIND("!",H91))</f>
        <v>N12</v>
      </c>
      <c r="H91" s="305" t="str">
        <f ca="1">SUBSTITUTE( _xlfn.FORMULATEXT(B91),"=","")</f>
        <v>HP_1!N12</v>
      </c>
    </row>
    <row r="92" spans="1:14">
      <c r="A92" s="304" t="str">
        <f>HP_1!A3</f>
        <v>Total heat loss (W/K) taken from DEAP</v>
      </c>
      <c r="B92" s="312">
        <f>HP_1!B3</f>
        <v>0</v>
      </c>
      <c r="C92" s="311" cm="1">
        <f t="array" aca="1" ref="C92" ca="1">INDIRECT($F92&amp;C$90&amp;"!"&amp;$G92)</f>
        <v>0</v>
      </c>
      <c r="D92" s="311" cm="1">
        <f t="array" aca="1" ref="D92" ca="1">INDIRECT($F92&amp;D$90&amp;"!"&amp;$G92)</f>
        <v>0</v>
      </c>
      <c r="E92" s="306">
        <f ca="1">VLOOKUP(A92,A92:D92,$K$1+1,FALSE)</f>
        <v>0</v>
      </c>
      <c r="F92" s="305" t="str">
        <f ca="1">LEFT(H92,FIND("1",H92)-1)</f>
        <v>HP_</v>
      </c>
      <c r="G92" s="305" t="str">
        <f ca="1">RIGHT(H92,LEN(H92)-FIND("!",H92))</f>
        <v>B3</v>
      </c>
      <c r="H92" s="305" t="str">
        <f ca="1">SUBSTITUTE( _xlfn.FORMULATEXT(B92),"=","")</f>
        <v>HP_1!B3</v>
      </c>
    </row>
    <row r="93" spans="1:14" ht="48">
      <c r="A93" s="304" t="str">
        <f>HP_1!A4</f>
        <v>Heat Loss Watts</v>
      </c>
      <c r="B93" s="309" t="str">
        <f>HP_1!B4</f>
        <v>Please complete DEAPEntries tab</v>
      </c>
      <c r="C93" s="311" t="str" cm="1">
        <f t="array" aca="1" ref="C93" ca="1">INDIRECT($F93&amp;C$90&amp;"!"&amp;$G93)</f>
        <v>Please complete DEAPEntries tab</v>
      </c>
      <c r="D93" s="311" t="str" cm="1">
        <f t="array" aca="1" ref="D93" ca="1">INDIRECT($F93&amp;D$90&amp;"!"&amp;$G93)</f>
        <v>Please complete DEAPEntries tab</v>
      </c>
      <c r="E93" s="306" t="str">
        <f t="shared" ref="E93:E156" ca="1" si="2">VLOOKUP(A93,A93:D93,$K$1+1,FALSE)</f>
        <v>Please complete DEAPEntries tab</v>
      </c>
      <c r="F93" s="305" t="str">
        <f t="shared" ref="F93:F156" ca="1" si="3">LEFT(H93,FIND("1",H93)-1)</f>
        <v>HP_</v>
      </c>
      <c r="G93" s="305" t="str">
        <f t="shared" ref="G93:G156" ca="1" si="4">RIGHT(H93,LEN(H93)-FIND("!",H93))</f>
        <v>B4</v>
      </c>
      <c r="H93" s="305" t="str">
        <f t="shared" ref="H93:H156" ca="1" si="5">SUBSTITUTE( _xlfn.FORMULATEXT(B93),"=","")</f>
        <v>HP_1!B4</v>
      </c>
    </row>
    <row r="94" spans="1:14" ht="24">
      <c r="A94" s="304" t="str">
        <f>HP_1!A5</f>
        <v>Is this Heat Pump part of a Group Heating Scheme</v>
      </c>
      <c r="B94" s="309" t="str">
        <f>HP_1!B5</f>
        <v>Yes</v>
      </c>
      <c r="C94" s="311" t="str" cm="1">
        <f t="array" aca="1" ref="C94" ca="1">INDIRECT($F94&amp;C$90&amp;"!"&amp;$G94)</f>
        <v>No</v>
      </c>
      <c r="D94" s="311" t="str" cm="1">
        <f t="array" aca="1" ref="D94" ca="1">INDIRECT($F94&amp;D$90&amp;"!"&amp;$G94)</f>
        <v>No</v>
      </c>
      <c r="E94" s="307" t="str">
        <f t="shared" ca="1" si="2"/>
        <v>No</v>
      </c>
      <c r="F94" s="305" t="str">
        <f t="shared" ca="1" si="3"/>
        <v>HP_</v>
      </c>
      <c r="G94" s="305" t="str">
        <f t="shared" ca="1" si="4"/>
        <v>B5</v>
      </c>
      <c r="H94" s="305" t="str">
        <f t="shared" ca="1" si="5"/>
        <v>HP_1!B5</v>
      </c>
    </row>
    <row r="95" spans="1:14" ht="24">
      <c r="A95" s="304" t="str">
        <f>HP_1!A6</f>
        <v>Proportion of main space heating provided by this heat pump</v>
      </c>
      <c r="B95" s="309">
        <f>HP_1!B6</f>
        <v>1</v>
      </c>
      <c r="C95" s="311" cm="1">
        <f t="array" aca="1" ref="C95" ca="1">INDIRECT($F95&amp;C$90&amp;"!"&amp;$G95)</f>
        <v>0</v>
      </c>
      <c r="D95" s="311" cm="1">
        <f t="array" aca="1" ref="D95" ca="1">INDIRECT($F95&amp;D$90&amp;"!"&amp;$G95)</f>
        <v>0</v>
      </c>
      <c r="E95" s="308">
        <f t="shared" ca="1" si="2"/>
        <v>0</v>
      </c>
      <c r="F95" s="305" t="str">
        <f t="shared" ca="1" si="3"/>
        <v>HP_</v>
      </c>
      <c r="G95" s="305" t="str">
        <f t="shared" ca="1" si="4"/>
        <v>B6</v>
      </c>
      <c r="H95" s="305" t="str">
        <f t="shared" ca="1" si="5"/>
        <v>HP_1!B6</v>
      </c>
    </row>
    <row r="96" spans="1:14">
      <c r="A96" s="304" t="str">
        <f>HP_1!A7</f>
        <v>Floor Area of Dwelling</v>
      </c>
      <c r="B96" s="309">
        <f>HP_1!B7</f>
        <v>0</v>
      </c>
      <c r="C96" s="311" cm="1">
        <f t="array" aca="1" ref="C96" ca="1">INDIRECT($F96&amp;C$90&amp;"!"&amp;$G96)</f>
        <v>0</v>
      </c>
      <c r="D96" s="311" cm="1">
        <f t="array" aca="1" ref="D96" ca="1">INDIRECT($F96&amp;D$90&amp;"!"&amp;$G96)</f>
        <v>0</v>
      </c>
      <c r="E96" s="307">
        <f t="shared" ca="1" si="2"/>
        <v>0</v>
      </c>
      <c r="F96" s="305" t="str">
        <f t="shared" ca="1" si="3"/>
        <v>HP_</v>
      </c>
      <c r="G96" s="305" t="str">
        <f t="shared" ca="1" si="4"/>
        <v>B7</v>
      </c>
      <c r="H96" s="305" t="str">
        <f t="shared" ca="1" si="5"/>
        <v>HP_1!B7</v>
      </c>
    </row>
    <row r="97" spans="1:8" ht="36">
      <c r="A97" s="304" t="str">
        <f>HP_1!A8</f>
        <v>If Heat Pump serves a Group Heat Scheme, the total Floor Area served by Heat Pump is:</v>
      </c>
      <c r="B97" s="309">
        <f>HP_1!B8</f>
        <v>0</v>
      </c>
      <c r="C97" s="311" cm="1">
        <f t="array" aca="1" ref="C97" ca="1">INDIRECT($F97&amp;C$90&amp;"!"&amp;$G97)</f>
        <v>0</v>
      </c>
      <c r="D97" s="311" cm="1">
        <f t="array" aca="1" ref="D97" ca="1">INDIRECT($F97&amp;D$90&amp;"!"&amp;$G97)</f>
        <v>0</v>
      </c>
      <c r="E97" s="307">
        <f t="shared" ca="1" si="2"/>
        <v>0</v>
      </c>
      <c r="F97" s="305" t="str">
        <f t="shared" ca="1" si="3"/>
        <v>HP_</v>
      </c>
      <c r="G97" s="305" t="str">
        <f t="shared" ca="1" si="4"/>
        <v>B8</v>
      </c>
      <c r="H97" s="305" t="str">
        <f t="shared" ca="1" si="5"/>
        <v>HP_1!B8</v>
      </c>
    </row>
    <row r="98" spans="1:8" ht="24">
      <c r="A98" s="304" t="str">
        <f>HP_1!A12</f>
        <v>Type of heat pump</v>
      </c>
      <c r="B98" s="309" t="str">
        <f>HP_1!B12</f>
        <v>Air to Water</v>
      </c>
      <c r="C98" s="311" t="str" cm="1">
        <f t="array" aca="1" ref="C98" ca="1">INDIRECT($F98&amp;C$90&amp;"!"&amp;$G98)</f>
        <v>Air to Water</v>
      </c>
      <c r="D98" s="311" t="str" cm="1">
        <f t="array" aca="1" ref="D98" ca="1">INDIRECT($F98&amp;D$90&amp;"!"&amp;$G98)</f>
        <v>Air to Water</v>
      </c>
      <c r="E98" s="307" t="str">
        <f t="shared" ca="1" si="2"/>
        <v>Air to Water</v>
      </c>
      <c r="F98" s="305" t="str">
        <f t="shared" ca="1" si="3"/>
        <v>HP_</v>
      </c>
      <c r="G98" s="305" t="str">
        <f t="shared" ca="1" si="4"/>
        <v>B12</v>
      </c>
      <c r="H98" s="305" t="str">
        <f t="shared" ca="1" si="5"/>
        <v>HP_1!B12</v>
      </c>
    </row>
    <row r="99" spans="1:8" ht="36">
      <c r="A99" s="304" t="str">
        <f>HP_1!A13</f>
        <v>Temperature Control 
(refered to as Capacity Control in Ecodesign Standard Template)</v>
      </c>
      <c r="B99" s="309" t="str">
        <f>HP_1!B13</f>
        <v>Fixed Outlet</v>
      </c>
      <c r="C99" s="311" t="str" cm="1">
        <f t="array" aca="1" ref="C99" ca="1">INDIRECT($F99&amp;C$90&amp;"!"&amp;$G99)</f>
        <v>Fixed Outlet</v>
      </c>
      <c r="D99" s="311" t="str" cm="1">
        <f t="array" aca="1" ref="D99" ca="1">INDIRECT($F99&amp;D$90&amp;"!"&amp;$G99)</f>
        <v>Fixed Outlet</v>
      </c>
      <c r="E99" s="307" t="str">
        <f t="shared" ca="1" si="2"/>
        <v>Fixed Outlet</v>
      </c>
      <c r="F99" s="305" t="str">
        <f t="shared" ca="1" si="3"/>
        <v>HP_</v>
      </c>
      <c r="G99" s="305" t="str">
        <f t="shared" ca="1" si="4"/>
        <v>B13</v>
      </c>
      <c r="H99" s="305" t="str">
        <f t="shared" ca="1" si="5"/>
        <v>HP_1!B13</v>
      </c>
    </row>
    <row r="100" spans="1:8" ht="24">
      <c r="A100" s="304" t="str">
        <f>HP_1!A14</f>
        <v>Space Heating Test Standard</v>
      </c>
      <c r="B100" s="312" t="str">
        <f>HP_1!B14</f>
        <v>I.S. EN 14825</v>
      </c>
      <c r="C100" s="311" t="str" cm="1">
        <f t="array" aca="1" ref="C100" ca="1">INDIRECT($F100&amp;C$90&amp;"!"&amp;$G100)</f>
        <v>I.S. EN 14825</v>
      </c>
      <c r="D100" s="311" t="str" cm="1">
        <f t="array" aca="1" ref="D100" ca="1">INDIRECT($F100&amp;D$90&amp;"!"&amp;$G100)</f>
        <v>I.S. EN 14825</v>
      </c>
      <c r="E100" s="307" t="str">
        <f t="shared" ca="1" si="2"/>
        <v>I.S. EN 14825</v>
      </c>
      <c r="F100" s="305" t="str">
        <f t="shared" ca="1" si="3"/>
        <v>HP_</v>
      </c>
      <c r="G100" s="305" t="str">
        <f t="shared" ca="1" si="4"/>
        <v>B14</v>
      </c>
      <c r="H100" s="305" t="str">
        <f t="shared" ca="1" si="5"/>
        <v>HP_1!B14</v>
      </c>
    </row>
    <row r="101" spans="1:8">
      <c r="A101" s="304" t="str">
        <f>HP_1!A15</f>
        <v>Operation Limit Temperature (TOL)</v>
      </c>
      <c r="B101" s="313" t="str">
        <f>HP_1!B15</f>
        <v xml:space="preserve"> </v>
      </c>
      <c r="C101" s="311" cm="1">
        <f t="array" aca="1" ref="C101" ca="1">INDIRECT($F101&amp;C$90&amp;"!"&amp;$G101)</f>
        <v>0</v>
      </c>
      <c r="D101" s="311" cm="1">
        <f t="array" aca="1" ref="D101" ca="1">INDIRECT($F101&amp;D$90&amp;"!"&amp;$G101)</f>
        <v>0</v>
      </c>
      <c r="E101" s="307">
        <f t="shared" ca="1" si="2"/>
        <v>0</v>
      </c>
      <c r="F101" s="305" t="str">
        <f t="shared" ca="1" si="3"/>
        <v>HP_</v>
      </c>
      <c r="G101" s="305" t="str">
        <f t="shared" ca="1" si="4"/>
        <v>B15</v>
      </c>
      <c r="H101" s="305" t="str">
        <f t="shared" ca="1" si="5"/>
        <v>HP_1!B15</v>
      </c>
    </row>
    <row r="102" spans="1:8" ht="24">
      <c r="A102" s="304" t="str">
        <f>HP_1!A16</f>
        <v>Heating water operating limit temperature (WTOL)</v>
      </c>
      <c r="B102" s="313" t="str">
        <f>HP_1!B16</f>
        <v xml:space="preserve"> </v>
      </c>
      <c r="C102" s="311" cm="1">
        <f t="array" aca="1" ref="C102" ca="1">INDIRECT($F102&amp;C$90&amp;"!"&amp;$G102)</f>
        <v>0</v>
      </c>
      <c r="D102" s="311" cm="1">
        <f t="array" aca="1" ref="D102" ca="1">INDIRECT($F102&amp;D$90&amp;"!"&amp;$G102)</f>
        <v>0</v>
      </c>
      <c r="E102" s="307">
        <f t="shared" ca="1" si="2"/>
        <v>0</v>
      </c>
      <c r="F102" s="305" t="str">
        <f t="shared" ca="1" si="3"/>
        <v>HP_</v>
      </c>
      <c r="G102" s="305" t="str">
        <f t="shared" ca="1" si="4"/>
        <v>B16</v>
      </c>
      <c r="H102" s="305" t="str">
        <f t="shared" ca="1" si="5"/>
        <v>HP_1!B16</v>
      </c>
    </row>
    <row r="103" spans="1:8" ht="24">
      <c r="A103" s="304" t="str">
        <f>HP_1!A17</f>
        <v>Annual space heating provided by Heat Pump</v>
      </c>
      <c r="B103" s="312">
        <f>HP_1!B17</f>
        <v>0</v>
      </c>
      <c r="C103" s="311" cm="1">
        <f t="array" aca="1" ref="C103" ca="1">INDIRECT($F103&amp;C$90&amp;"!"&amp;$G103)</f>
        <v>0</v>
      </c>
      <c r="D103" s="311" cm="1">
        <f t="array" aca="1" ref="D103" ca="1">INDIRECT($F103&amp;D$90&amp;"!"&amp;$G103)</f>
        <v>0</v>
      </c>
      <c r="E103" s="306">
        <f t="shared" ca="1" si="2"/>
        <v>0</v>
      </c>
      <c r="F103" s="305" t="str">
        <f t="shared" ca="1" si="3"/>
        <v>HP_</v>
      </c>
      <c r="G103" s="305" t="str">
        <f t="shared" ca="1" si="4"/>
        <v>B17</v>
      </c>
      <c r="H103" s="305" t="str">
        <f t="shared" ca="1" si="5"/>
        <v>HP_1!B17</v>
      </c>
    </row>
    <row r="104" spans="1:8">
      <c r="A104" s="304" t="str">
        <f>HP_1!A18</f>
        <v>Design Outdoor Temperature</v>
      </c>
      <c r="B104" s="309">
        <f>HP_1!B18</f>
        <v>-3</v>
      </c>
      <c r="C104" s="311" cm="1">
        <f t="array" aca="1" ref="C104" ca="1">INDIRECT($F104&amp;C$90&amp;"!"&amp;$G104)</f>
        <v>-3</v>
      </c>
      <c r="D104" s="311" cm="1">
        <f t="array" aca="1" ref="D104" ca="1">INDIRECT($F104&amp;D$90&amp;"!"&amp;$G104)</f>
        <v>-3</v>
      </c>
      <c r="E104" s="307">
        <f t="shared" ca="1" si="2"/>
        <v>-3</v>
      </c>
      <c r="F104" s="305" t="str">
        <f t="shared" ca="1" si="3"/>
        <v>HP_</v>
      </c>
      <c r="G104" s="305" t="str">
        <f t="shared" ca="1" si="4"/>
        <v>B18</v>
      </c>
      <c r="H104" s="305" t="str">
        <f t="shared" ca="1" si="5"/>
        <v>HP_1!B18</v>
      </c>
    </row>
    <row r="105" spans="1:8" ht="60">
      <c r="A105" s="304" t="str">
        <f>HP_1!A19</f>
        <v>Indoor Design Temperature (Mean Internal Temperature)</v>
      </c>
      <c r="B105" s="314" t="str">
        <f>HP_1!B19</f>
        <v>Please complete DEAP Entries tab</v>
      </c>
      <c r="C105" s="311" t="str" cm="1">
        <f t="array" aca="1" ref="C105" ca="1">INDIRECT($F105&amp;C$90&amp;"!"&amp;$G105)</f>
        <v>Please complete DEAP Entries tab</v>
      </c>
      <c r="D105" s="311" t="str" cm="1">
        <f t="array" aca="1" ref="D105" ca="1">INDIRECT($F105&amp;D$90&amp;"!"&amp;$G105)</f>
        <v>Please complete DEAP Entries tab</v>
      </c>
      <c r="E105" s="307" t="str">
        <f t="shared" ca="1" si="2"/>
        <v>Please complete DEAP Entries tab</v>
      </c>
      <c r="F105" s="305" t="str">
        <f t="shared" ca="1" si="3"/>
        <v>HP_</v>
      </c>
      <c r="G105" s="305" t="str">
        <f t="shared" ca="1" si="4"/>
        <v>B19</v>
      </c>
      <c r="H105" s="305" t="str">
        <f t="shared" ca="1" si="5"/>
        <v>HP_1!B19</v>
      </c>
    </row>
    <row r="106" spans="1:8">
      <c r="A106" s="304" t="str">
        <f>HP_1!A24</f>
        <v>Air used as Emitter (to Air Units)</v>
      </c>
      <c r="B106" s="309" t="str">
        <f>HP_1!B24</f>
        <v>No</v>
      </c>
      <c r="C106" s="311" t="str" cm="1">
        <f t="array" aca="1" ref="C106" ca="1">INDIRECT($F106&amp;C$90&amp;"!"&amp;$G106)</f>
        <v>No</v>
      </c>
      <c r="D106" s="311" t="str" cm="1">
        <f t="array" aca="1" ref="D106" ca="1">INDIRECT($F106&amp;D$90&amp;"!"&amp;$G106)</f>
        <v>No</v>
      </c>
      <c r="E106" s="307" t="str">
        <f t="shared" ca="1" si="2"/>
        <v>No</v>
      </c>
      <c r="F106" s="305" t="str">
        <f t="shared" ca="1" si="3"/>
        <v>HP_</v>
      </c>
      <c r="G106" s="305" t="str">
        <f t="shared" ca="1" si="4"/>
        <v>B24</v>
      </c>
      <c r="H106" s="305" t="str">
        <f t="shared" ca="1" si="5"/>
        <v>HP_1!B24</v>
      </c>
    </row>
    <row r="107" spans="1:8" ht="36">
      <c r="A107" s="304" t="str">
        <f>HP_1!A25</f>
        <v>Design Flow Temperature
Use "Default Supply Temperature" unless other evidence available</v>
      </c>
      <c r="B107" s="309">
        <f>HP_1!B25</f>
        <v>0</v>
      </c>
      <c r="C107" s="311" cm="1">
        <f t="array" aca="1" ref="C107" ca="1">INDIRECT($F107&amp;C$90&amp;"!"&amp;$G107)</f>
        <v>0</v>
      </c>
      <c r="D107" s="311" cm="1">
        <f t="array" aca="1" ref="D107" ca="1">INDIRECT($F107&amp;D$90&amp;"!"&amp;$G107)</f>
        <v>0</v>
      </c>
      <c r="E107" s="307">
        <f t="shared" ca="1" si="2"/>
        <v>0</v>
      </c>
      <c r="F107" s="305" t="str">
        <f t="shared" ca="1" si="3"/>
        <v>HP_</v>
      </c>
      <c r="G107" s="305" t="str">
        <f t="shared" ca="1" si="4"/>
        <v>B25</v>
      </c>
      <c r="H107" s="305" t="str">
        <f t="shared" ca="1" si="5"/>
        <v>HP_1!B25</v>
      </c>
    </row>
    <row r="108" spans="1:8" ht="24">
      <c r="A108" s="304" t="str">
        <f>HP_1!A26</f>
        <v>Exponent n, characterising type of emission system</v>
      </c>
      <c r="B108" s="309">
        <f>HP_1!B26</f>
        <v>1.2</v>
      </c>
      <c r="C108" s="311" cm="1">
        <f t="array" aca="1" ref="C108" ca="1">INDIRECT($F108&amp;C$90&amp;"!"&amp;$G108)</f>
        <v>1.2</v>
      </c>
      <c r="D108" s="311" cm="1">
        <f t="array" aca="1" ref="D108" ca="1">INDIRECT($F108&amp;D$90&amp;"!"&amp;$G108)</f>
        <v>1.2</v>
      </c>
      <c r="E108" s="307">
        <f t="shared" ca="1" si="2"/>
        <v>1.2</v>
      </c>
      <c r="F108" s="305" t="str">
        <f t="shared" ca="1" si="3"/>
        <v>HP_</v>
      </c>
      <c r="G108" s="305" t="str">
        <f t="shared" ca="1" si="4"/>
        <v>B26</v>
      </c>
      <c r="H108" s="305" t="str">
        <f t="shared" ca="1" si="5"/>
        <v>HP_1!B26</v>
      </c>
    </row>
    <row r="109" spans="1:8">
      <c r="A109" s="304" t="str">
        <f>HP_1!A27</f>
        <v>Emitter Temperature Drop</v>
      </c>
      <c r="B109" s="309">
        <f>HP_1!B27</f>
        <v>10</v>
      </c>
      <c r="C109" s="311" cm="1">
        <f t="array" aca="1" ref="C109" ca="1">INDIRECT($F109&amp;C$90&amp;"!"&amp;$G109)</f>
        <v>10</v>
      </c>
      <c r="D109" s="311" cm="1">
        <f t="array" aca="1" ref="D109" ca="1">INDIRECT($F109&amp;D$90&amp;"!"&amp;$G109)</f>
        <v>10</v>
      </c>
      <c r="E109" s="307">
        <f t="shared" ca="1" si="2"/>
        <v>10</v>
      </c>
      <c r="F109" s="305" t="str">
        <f t="shared" ca="1" si="3"/>
        <v>HP_</v>
      </c>
      <c r="G109" s="305" t="str">
        <f t="shared" ca="1" si="4"/>
        <v>B27</v>
      </c>
      <c r="H109" s="305" t="str">
        <f t="shared" ca="1" si="5"/>
        <v>HP_1!B27</v>
      </c>
    </row>
    <row r="110" spans="1:8">
      <c r="A110" s="304" t="str">
        <f>HP_1!A28</f>
        <v>Return Temperature at design conditions</v>
      </c>
      <c r="B110" s="309">
        <f>HP_1!B28</f>
        <v>-10</v>
      </c>
      <c r="C110" s="311" cm="1">
        <f t="array" aca="1" ref="C110" ca="1">INDIRECT($F110&amp;C$90&amp;"!"&amp;$G110)</f>
        <v>-10</v>
      </c>
      <c r="D110" s="311" cm="1">
        <f t="array" aca="1" ref="D110" ca="1">INDIRECT($F110&amp;D$90&amp;"!"&amp;$G110)</f>
        <v>-10</v>
      </c>
      <c r="E110" s="307">
        <f t="shared" ca="1" si="2"/>
        <v>-10</v>
      </c>
      <c r="F110" s="305" t="str">
        <f t="shared" ca="1" si="3"/>
        <v>HP_</v>
      </c>
      <c r="G110" s="305" t="str">
        <f t="shared" ca="1" si="4"/>
        <v>B28</v>
      </c>
      <c r="H110" s="305" t="str">
        <f t="shared" ca="1" si="5"/>
        <v>HP_1!B28</v>
      </c>
    </row>
    <row r="111" spans="1:8">
      <c r="A111" s="304" t="str">
        <f>HP_1!A29</f>
        <v>No of Hrs per Day Heat Pump in Operation</v>
      </c>
      <c r="B111" s="313">
        <f>HP_1!B29</f>
        <v>8</v>
      </c>
      <c r="C111" s="311" cm="1">
        <f t="array" aca="1" ref="C111" ca="1">INDIRECT($F111&amp;C$90&amp;"!"&amp;$G111)</f>
        <v>8</v>
      </c>
      <c r="D111" s="311" cm="1">
        <f t="array" aca="1" ref="D111" ca="1">INDIRECT($F111&amp;D$90&amp;"!"&amp;$G111)</f>
        <v>8</v>
      </c>
      <c r="E111" s="307">
        <f t="shared" ca="1" si="2"/>
        <v>8</v>
      </c>
      <c r="F111" s="305" t="str">
        <f t="shared" ca="1" si="3"/>
        <v>HP_</v>
      </c>
      <c r="G111" s="305" t="str">
        <f t="shared" ca="1" si="4"/>
        <v>B29</v>
      </c>
      <c r="H111" s="305" t="str">
        <f t="shared" ca="1" si="5"/>
        <v>HP_1!B29</v>
      </c>
    </row>
    <row r="112" spans="1:8">
      <c r="A112" s="304" t="str">
        <f>HP_1!A30</f>
        <v>Cut-out hours</v>
      </c>
      <c r="B112" s="309">
        <f>HP_1!B30</f>
        <v>16</v>
      </c>
      <c r="C112" s="311" cm="1">
        <f t="array" aca="1" ref="C112" ca="1">INDIRECT($F112&amp;C$90&amp;"!"&amp;$G112)</f>
        <v>16</v>
      </c>
      <c r="D112" s="311" cm="1">
        <f t="array" aca="1" ref="D112" ca="1">INDIRECT($F112&amp;D$90&amp;"!"&amp;$G112)</f>
        <v>16</v>
      </c>
      <c r="E112" s="307">
        <f t="shared" ca="1" si="2"/>
        <v>16</v>
      </c>
      <c r="F112" s="305" t="str">
        <f t="shared" ca="1" si="3"/>
        <v>HP_</v>
      </c>
      <c r="G112" s="305" t="str">
        <f t="shared" ca="1" si="4"/>
        <v>B30</v>
      </c>
      <c r="H112" s="305" t="str">
        <f t="shared" ca="1" si="5"/>
        <v>HP_1!B30</v>
      </c>
    </row>
    <row r="113" spans="1:8">
      <c r="A113" s="304" t="str">
        <f>HP_1!A31</f>
        <v>Heat pump fuel primary energy factor</v>
      </c>
      <c r="B113" s="309">
        <f>HP_1!B31</f>
        <v>1.75</v>
      </c>
      <c r="C113" s="311" cm="1">
        <f t="array" aca="1" ref="C113" ca="1">INDIRECT($F113&amp;C$90&amp;"!"&amp;$G113)</f>
        <v>1.75</v>
      </c>
      <c r="D113" s="311" cm="1">
        <f t="array" aca="1" ref="D113" ca="1">INDIRECT($F113&amp;D$90&amp;"!"&amp;$G113)</f>
        <v>1.75</v>
      </c>
      <c r="E113" s="307">
        <f t="shared" ca="1" si="2"/>
        <v>1.75</v>
      </c>
      <c r="F113" s="305" t="str">
        <f t="shared" ca="1" si="3"/>
        <v>HP_</v>
      </c>
      <c r="G113" s="305" t="str">
        <f t="shared" ca="1" si="4"/>
        <v>B31</v>
      </c>
      <c r="H113" s="305" t="str">
        <f t="shared" ca="1" si="5"/>
        <v>HP_1!B31</v>
      </c>
    </row>
    <row r="114" spans="1:8" ht="24">
      <c r="A114" s="304" t="str">
        <f>HP_1!A32</f>
        <v>Is a Back Up Space Heater Present within Dwelling</v>
      </c>
      <c r="B114" s="309" t="str">
        <f>HP_1!B32</f>
        <v>No</v>
      </c>
      <c r="C114" s="311" t="str" cm="1">
        <f t="array" aca="1" ref="C114" ca="1">INDIRECT($F114&amp;C$90&amp;"!"&amp;$G114)</f>
        <v>No</v>
      </c>
      <c r="D114" s="311" t="str" cm="1">
        <f t="array" aca="1" ref="D114" ca="1">INDIRECT($F114&amp;D$90&amp;"!"&amp;$G114)</f>
        <v>No</v>
      </c>
      <c r="E114" s="307" t="str">
        <f t="shared" ca="1" si="2"/>
        <v>No</v>
      </c>
      <c r="F114" s="305" t="str">
        <f t="shared" ca="1" si="3"/>
        <v>HP_</v>
      </c>
      <c r="G114" s="305" t="str">
        <f t="shared" ca="1" si="4"/>
        <v>B32</v>
      </c>
      <c r="H114" s="305" t="str">
        <f t="shared" ca="1" si="5"/>
        <v>HP_1!B32</v>
      </c>
    </row>
    <row r="115" spans="1:8">
      <c r="A115" s="304" t="str">
        <f>HP_1!A33</f>
        <v>Back Up Space Heater Fuel</v>
      </c>
      <c r="B115" s="309" t="str">
        <f>HP_1!B33</f>
        <v>Electricity</v>
      </c>
      <c r="C115" s="311" t="str" cm="1">
        <f t="array" aca="1" ref="C115" ca="1">INDIRECT($F115&amp;C$90&amp;"!"&amp;$G115)</f>
        <v>Electricity</v>
      </c>
      <c r="D115" s="311" t="str" cm="1">
        <f t="array" aca="1" ref="D115" ca="1">INDIRECT($F115&amp;D$90&amp;"!"&amp;$G115)</f>
        <v>Electricity</v>
      </c>
      <c r="E115" s="307" t="str">
        <f t="shared" ca="1" si="2"/>
        <v>Electricity</v>
      </c>
      <c r="F115" s="305" t="str">
        <f t="shared" ca="1" si="3"/>
        <v>HP_</v>
      </c>
      <c r="G115" s="305" t="str">
        <f t="shared" ca="1" si="4"/>
        <v>B33</v>
      </c>
      <c r="H115" s="305" t="str">
        <f t="shared" ca="1" si="5"/>
        <v>HP_1!B33</v>
      </c>
    </row>
    <row r="116" spans="1:8" ht="24">
      <c r="A116" s="304" t="str">
        <f>HP_1!A34</f>
        <v>Primary Energy Factor for Back Up Space Heater</v>
      </c>
      <c r="B116" s="309">
        <f>HP_1!B34</f>
        <v>1.75</v>
      </c>
      <c r="C116" s="311" cm="1">
        <f t="array" aca="1" ref="C116" ca="1">INDIRECT($F116&amp;C$90&amp;"!"&amp;$G116)</f>
        <v>1.75</v>
      </c>
      <c r="D116" s="311" cm="1">
        <f t="array" aca="1" ref="D116" ca="1">INDIRECT($F116&amp;D$90&amp;"!"&amp;$G116)</f>
        <v>1.75</v>
      </c>
      <c r="E116" s="307">
        <f t="shared" ca="1" si="2"/>
        <v>1.75</v>
      </c>
      <c r="F116" s="305" t="str">
        <f t="shared" ca="1" si="3"/>
        <v>HP_</v>
      </c>
      <c r="G116" s="305" t="str">
        <f t="shared" ca="1" si="4"/>
        <v>B34</v>
      </c>
      <c r="H116" s="305" t="str">
        <f t="shared" ca="1" si="5"/>
        <v>HP_1!B34</v>
      </c>
    </row>
    <row r="117" spans="1:8">
      <c r="A117" s="304" t="str">
        <f>HP_1!A35</f>
        <v>Efficiency of Back up Space Heater</v>
      </c>
      <c r="B117" s="309">
        <f>HP_1!B35</f>
        <v>0</v>
      </c>
      <c r="C117" s="311" cm="1">
        <f t="array" aca="1" ref="C117" ca="1">INDIRECT($F117&amp;C$90&amp;"!"&amp;$G117)</f>
        <v>0</v>
      </c>
      <c r="D117" s="311" cm="1">
        <f t="array" aca="1" ref="D117" ca="1">INDIRECT($F117&amp;D$90&amp;"!"&amp;$G117)</f>
        <v>0</v>
      </c>
      <c r="E117" s="307">
        <f t="shared" ca="1" si="2"/>
        <v>0</v>
      </c>
      <c r="F117" s="305" t="str">
        <f t="shared" ca="1" si="3"/>
        <v>HP_</v>
      </c>
      <c r="G117" s="305" t="str">
        <f t="shared" ca="1" si="4"/>
        <v>B35</v>
      </c>
      <c r="H117" s="305" t="str">
        <f t="shared" ca="1" si="5"/>
        <v>HP_1!B35</v>
      </c>
    </row>
    <row r="118" spans="1:8" ht="24">
      <c r="A118" s="304" t="str">
        <f>HP_1!A36</f>
        <v>Adjusted Efficiency of Back up Space Heater relative to fuel used for heat pump</v>
      </c>
      <c r="B118" s="315">
        <f>HP_1!B36</f>
        <v>1</v>
      </c>
      <c r="C118" s="311" cm="1">
        <f t="array" aca="1" ref="C118" ca="1">INDIRECT($F118&amp;C$90&amp;"!"&amp;$G118)</f>
        <v>1</v>
      </c>
      <c r="D118" s="311" cm="1">
        <f t="array" aca="1" ref="D118" ca="1">INDIRECT($F118&amp;D$90&amp;"!"&amp;$G118)</f>
        <v>1</v>
      </c>
      <c r="E118" s="308">
        <f t="shared" ca="1" si="2"/>
        <v>1</v>
      </c>
      <c r="F118" s="305" t="str">
        <f t="shared" ca="1" si="3"/>
        <v>HP_</v>
      </c>
      <c r="G118" s="305" t="str">
        <f t="shared" ca="1" si="4"/>
        <v>B36</v>
      </c>
      <c r="H118" s="305" t="str">
        <f t="shared" ca="1" si="5"/>
        <v>HP_1!B36</v>
      </c>
    </row>
    <row r="119" spans="1:8" ht="24">
      <c r="A119" s="304" t="str">
        <f>HP_1!A65</f>
        <v>Type of heat pump</v>
      </c>
      <c r="B119" s="315" t="str">
        <f>HP_1!B65</f>
        <v>Air to Water</v>
      </c>
      <c r="C119" s="311" t="str" cm="1">
        <f t="array" aca="1" ref="C119" ca="1">INDIRECT($F119&amp;C$90&amp;"!"&amp;$G119)</f>
        <v>Air to Water</v>
      </c>
      <c r="D119" s="311" t="str" cm="1">
        <f t="array" aca="1" ref="D119" ca="1">INDIRECT($F119&amp;D$90&amp;"!"&amp;$G119)</f>
        <v>Air to Water</v>
      </c>
      <c r="E119" s="308" t="str">
        <f t="shared" ca="1" si="2"/>
        <v>Air to Water</v>
      </c>
      <c r="F119" s="305" t="str">
        <f t="shared" ca="1" si="3"/>
        <v>HP_</v>
      </c>
      <c r="G119" s="305" t="str">
        <f t="shared" ca="1" si="4"/>
        <v>B65</v>
      </c>
      <c r="H119" s="305" t="str">
        <f t="shared" ca="1" si="5"/>
        <v>HP_1!B65</v>
      </c>
    </row>
    <row r="120" spans="1:8" ht="36">
      <c r="A120" s="304" t="str">
        <f>HP_1!A66</f>
        <v>Temperature Control 
(refered to as Capacity Control in Ecodesign Standard Template)</v>
      </c>
      <c r="B120" s="315" t="str">
        <f>HP_1!B66</f>
        <v>Fixed Outlet</v>
      </c>
      <c r="C120" s="311" t="str" cm="1">
        <f t="array" aca="1" ref="C120" ca="1">INDIRECT($F120&amp;C$90&amp;"!"&amp;$G120)</f>
        <v>Fixed Outlet</v>
      </c>
      <c r="D120" s="311" t="str" cm="1">
        <f t="array" aca="1" ref="D120" ca="1">INDIRECT($F120&amp;D$90&amp;"!"&amp;$G120)</f>
        <v>Fixed Outlet</v>
      </c>
      <c r="E120" s="308" t="str">
        <f t="shared" ca="1" si="2"/>
        <v>Fixed Outlet</v>
      </c>
      <c r="F120" s="305" t="str">
        <f t="shared" ca="1" si="3"/>
        <v>HP_</v>
      </c>
      <c r="G120" s="305" t="str">
        <f t="shared" ca="1" si="4"/>
        <v>B66</v>
      </c>
      <c r="H120" s="305" t="str">
        <f t="shared" ca="1" si="5"/>
        <v>HP_1!B66</v>
      </c>
    </row>
    <row r="121" spans="1:8" ht="108">
      <c r="A121" s="304" t="str">
        <f>HP_1!A67</f>
        <v>Describe the water heating heat pump arrangement</v>
      </c>
      <c r="B121" s="315" t="str">
        <f>HP_1!B67</f>
        <v>Same Heat Pump providing Space Heating and Domestic Hot Water</v>
      </c>
      <c r="C121" s="311" t="str" cm="1">
        <f t="array" aca="1" ref="C121" ca="1">INDIRECT($F121&amp;C$90&amp;"!"&amp;$G121)</f>
        <v>Same Heat Pump providing Space Heating and Domestic Hot Water</v>
      </c>
      <c r="D121" s="311" t="str" cm="1">
        <f t="array" aca="1" ref="D121" ca="1">INDIRECT($F121&amp;D$90&amp;"!"&amp;$G121)</f>
        <v>Same Heat Pump providing Space Heating and Domestic Hot Water</v>
      </c>
      <c r="E121" s="308" t="str">
        <f t="shared" ca="1" si="2"/>
        <v>Same Heat Pump providing Space Heating and Domestic Hot Water</v>
      </c>
      <c r="F121" s="305" t="str">
        <f t="shared" ca="1" si="3"/>
        <v>HP_</v>
      </c>
      <c r="G121" s="305" t="str">
        <f t="shared" ca="1" si="4"/>
        <v>B67</v>
      </c>
      <c r="H121" s="305" t="str">
        <f t="shared" ca="1" si="5"/>
        <v>HP_1!B67</v>
      </c>
    </row>
    <row r="122" spans="1:8" ht="24">
      <c r="A122" s="304" t="str">
        <f>HP_1!A68</f>
        <v>Water Heating Test Standard</v>
      </c>
      <c r="B122" s="315" t="str">
        <f>HP_1!B68</f>
        <v>I.S. EN 16147</v>
      </c>
      <c r="C122" s="311" t="str" cm="1">
        <f t="array" aca="1" ref="C122" ca="1">INDIRECT($F122&amp;C$90&amp;"!"&amp;$G122)</f>
        <v>I.S. EN 16147</v>
      </c>
      <c r="D122" s="311" t="str" cm="1">
        <f t="array" aca="1" ref="D122" ca="1">INDIRECT($F122&amp;D$90&amp;"!"&amp;$G122)</f>
        <v>I.S. EN 16147</v>
      </c>
      <c r="E122" s="308" t="str">
        <f t="shared" ca="1" si="2"/>
        <v>I.S. EN 16147</v>
      </c>
      <c r="F122" s="305" t="str">
        <f t="shared" ca="1" si="3"/>
        <v>HP_</v>
      </c>
      <c r="G122" s="305" t="str">
        <f t="shared" ca="1" si="4"/>
        <v>B68</v>
      </c>
      <c r="H122" s="305" t="str">
        <f t="shared" ca="1" si="5"/>
        <v>HP_1!B68</v>
      </c>
    </row>
    <row r="123" spans="1:8">
      <c r="A123" s="304" t="str">
        <f>HP_1!A69</f>
        <v>Output from Main Water Heater</v>
      </c>
      <c r="B123" s="316">
        <f>HP_1!B69</f>
        <v>0</v>
      </c>
      <c r="C123" s="311" cm="1">
        <f t="array" aca="1" ref="C123" ca="1">INDIRECT($F123&amp;C$90&amp;"!"&amp;$G123)</f>
        <v>0</v>
      </c>
      <c r="D123" s="311" cm="1">
        <f t="array" aca="1" ref="D123" ca="1">INDIRECT($F123&amp;D$90&amp;"!"&amp;$G123)</f>
        <v>0</v>
      </c>
      <c r="E123" s="310">
        <f t="shared" ca="1" si="2"/>
        <v>0</v>
      </c>
      <c r="F123" s="305" t="str">
        <f t="shared" ca="1" si="3"/>
        <v>HP_</v>
      </c>
      <c r="G123" s="305" t="str">
        <f t="shared" ca="1" si="4"/>
        <v>B69</v>
      </c>
      <c r="H123" s="305" t="str">
        <f t="shared" ca="1" si="5"/>
        <v>HP_1!B69</v>
      </c>
    </row>
    <row r="124" spans="1:8" ht="36">
      <c r="A124" s="304" t="str">
        <f>HP_1!A70</f>
        <v>Type of DHW</v>
      </c>
      <c r="B124" s="316" t="str">
        <f>HP_1!B70</f>
        <v>Separate Hot Water Storage</v>
      </c>
      <c r="C124" s="311" t="str" cm="1">
        <f t="array" aca="1" ref="C124" ca="1">INDIRECT($F124&amp;C$90&amp;"!"&amp;$G124)</f>
        <v>Separate Hot Water Storage</v>
      </c>
      <c r="D124" s="311" t="str" cm="1">
        <f t="array" aca="1" ref="D124" ca="1">INDIRECT($F124&amp;D$90&amp;"!"&amp;$G124)</f>
        <v>Separate Hot Water Storage</v>
      </c>
      <c r="E124" s="308" t="str">
        <f t="shared" ca="1" si="2"/>
        <v>Separate Hot Water Storage</v>
      </c>
      <c r="F124" s="305" t="str">
        <f t="shared" ca="1" si="3"/>
        <v>HP_</v>
      </c>
      <c r="G124" s="305" t="str">
        <f t="shared" ca="1" si="4"/>
        <v>B70</v>
      </c>
      <c r="H124" s="305" t="str">
        <f t="shared" ca="1" si="5"/>
        <v>HP_1!B70</v>
      </c>
    </row>
    <row r="125" spans="1:8">
      <c r="A125" s="304" t="str">
        <f>HP_1!A71</f>
        <v>Cold Water Inlet Temperature</v>
      </c>
      <c r="B125" s="316">
        <f>HP_1!B71</f>
        <v>10</v>
      </c>
      <c r="C125" s="311" cm="1">
        <f t="array" aca="1" ref="C125" ca="1">INDIRECT($F125&amp;C$90&amp;"!"&amp;$G125)</f>
        <v>10</v>
      </c>
      <c r="D125" s="311" cm="1">
        <f t="array" aca="1" ref="D125" ca="1">INDIRECT($F125&amp;D$90&amp;"!"&amp;$G125)</f>
        <v>10</v>
      </c>
      <c r="E125" s="310">
        <f t="shared" ca="1" si="2"/>
        <v>10</v>
      </c>
      <c r="F125" s="305" t="str">
        <f t="shared" ca="1" si="3"/>
        <v>HP_</v>
      </c>
      <c r="G125" s="305" t="str">
        <f t="shared" ca="1" si="4"/>
        <v>B71</v>
      </c>
      <c r="H125" s="305" t="str">
        <f t="shared" ca="1" si="5"/>
        <v>HP_1!B71</v>
      </c>
    </row>
    <row r="126" spans="1:8" ht="24">
      <c r="A126" s="304" t="str">
        <f>HP_1!A72</f>
        <v>Required Flow Temperature from Heat Pump to Hot Water Storage</v>
      </c>
      <c r="B126" s="316">
        <f>HP_1!B72</f>
        <v>65</v>
      </c>
      <c r="C126" s="311" cm="1">
        <f t="array" aca="1" ref="C126" ca="1">INDIRECT($F126&amp;C$90&amp;"!"&amp;$G126)</f>
        <v>65</v>
      </c>
      <c r="D126" s="311" cm="1">
        <f t="array" aca="1" ref="D126" ca="1">INDIRECT($F126&amp;D$90&amp;"!"&amp;$G126)</f>
        <v>65</v>
      </c>
      <c r="E126" s="310">
        <f t="shared" ca="1" si="2"/>
        <v>65</v>
      </c>
      <c r="F126" s="305" t="str">
        <f t="shared" ca="1" si="3"/>
        <v>HP_</v>
      </c>
      <c r="G126" s="305" t="str">
        <f t="shared" ca="1" si="4"/>
        <v>B72</v>
      </c>
      <c r="H126" s="305" t="str">
        <f t="shared" ca="1" si="5"/>
        <v>HP_1!B72</v>
      </c>
    </row>
    <row r="127" spans="1:8">
      <c r="A127" s="304" t="str">
        <f>HP_1!A73</f>
        <v>Volume of DHW Storage</v>
      </c>
      <c r="B127" s="316">
        <f>HP_1!B73</f>
        <v>0</v>
      </c>
      <c r="C127" s="311" cm="1">
        <f t="array" aca="1" ref="C127" ca="1">INDIRECT($F127&amp;C$90&amp;"!"&amp;$G127)</f>
        <v>0</v>
      </c>
      <c r="D127" s="311" cm="1">
        <f t="array" aca="1" ref="D127" ca="1">INDIRECT($F127&amp;D$90&amp;"!"&amp;$G127)</f>
        <v>0</v>
      </c>
      <c r="E127" s="310">
        <f t="shared" ca="1" si="2"/>
        <v>0</v>
      </c>
      <c r="F127" s="305" t="str">
        <f t="shared" ca="1" si="3"/>
        <v>HP_</v>
      </c>
      <c r="G127" s="305" t="str">
        <f t="shared" ca="1" si="4"/>
        <v>B73</v>
      </c>
      <c r="H127" s="305" t="str">
        <f t="shared" ca="1" si="5"/>
        <v>HP_1!B73</v>
      </c>
    </row>
    <row r="128" spans="1:8" ht="24">
      <c r="A128" s="304" t="str">
        <f>HP_1!A74</f>
        <v>Is there a water heater installed as back up for the heat pump</v>
      </c>
      <c r="B128" s="316" t="str">
        <f>HP_1!B74</f>
        <v>No</v>
      </c>
      <c r="C128" s="311" t="str" cm="1">
        <f t="array" aca="1" ref="C128" ca="1">INDIRECT($F128&amp;C$90&amp;"!"&amp;$G128)</f>
        <v>No</v>
      </c>
      <c r="D128" s="311" t="str" cm="1">
        <f t="array" aca="1" ref="D128" ca="1">INDIRECT($F128&amp;D$90&amp;"!"&amp;$G128)</f>
        <v>No</v>
      </c>
      <c r="E128" s="308" t="str">
        <f t="shared" ca="1" si="2"/>
        <v>No</v>
      </c>
      <c r="F128" s="305" t="str">
        <f t="shared" ca="1" si="3"/>
        <v>HP_</v>
      </c>
      <c r="G128" s="305" t="str">
        <f t="shared" ca="1" si="4"/>
        <v>B74</v>
      </c>
      <c r="H128" s="305" t="str">
        <f t="shared" ca="1" si="5"/>
        <v>HP_1!B74</v>
      </c>
    </row>
    <row r="129" spans="1:8">
      <c r="A129" s="304" t="str">
        <f>HP_1!A75</f>
        <v>Back Up Water Heater Fuel</v>
      </c>
      <c r="B129" s="316" t="str">
        <f>HP_1!B75</f>
        <v>Electricity</v>
      </c>
      <c r="C129" s="311" t="str" cm="1">
        <f t="array" aca="1" ref="C129" ca="1">INDIRECT($F129&amp;C$90&amp;"!"&amp;$G129)</f>
        <v>Electricity</v>
      </c>
      <c r="D129" s="311" t="str" cm="1">
        <f t="array" aca="1" ref="D129" ca="1">INDIRECT($F129&amp;D$90&amp;"!"&amp;$G129)</f>
        <v>Electricity</v>
      </c>
      <c r="E129" s="308" t="str">
        <f t="shared" ca="1" si="2"/>
        <v>Electricity</v>
      </c>
      <c r="F129" s="305" t="str">
        <f t="shared" ca="1" si="3"/>
        <v>HP_</v>
      </c>
      <c r="G129" s="305" t="str">
        <f t="shared" ca="1" si="4"/>
        <v>B75</v>
      </c>
      <c r="H129" s="305" t="str">
        <f t="shared" ca="1" si="5"/>
        <v>HP_1!B75</v>
      </c>
    </row>
    <row r="130" spans="1:8" ht="24">
      <c r="A130" s="304" t="str">
        <f>HP_1!A76</f>
        <v>Primary Energy Factor for Back Up Water Heater</v>
      </c>
      <c r="B130" s="316">
        <f>HP_1!B76</f>
        <v>1.75</v>
      </c>
      <c r="C130" s="311" cm="1">
        <f t="array" aca="1" ref="C130" ca="1">INDIRECT($F130&amp;C$90&amp;"!"&amp;$G130)</f>
        <v>1.75</v>
      </c>
      <c r="D130" s="311" cm="1">
        <f t="array" aca="1" ref="D130" ca="1">INDIRECT($F130&amp;D$90&amp;"!"&amp;$G130)</f>
        <v>1.75</v>
      </c>
      <c r="E130" s="310">
        <f t="shared" ca="1" si="2"/>
        <v>1.75</v>
      </c>
      <c r="F130" s="305" t="str">
        <f t="shared" ca="1" si="3"/>
        <v>HP_</v>
      </c>
      <c r="G130" s="305" t="str">
        <f t="shared" ca="1" si="4"/>
        <v>B76</v>
      </c>
      <c r="H130" s="305" t="str">
        <f t="shared" ca="1" si="5"/>
        <v>HP_1!B76</v>
      </c>
    </row>
    <row r="131" spans="1:8">
      <c r="A131" s="304" t="str">
        <f>HP_1!A77</f>
        <v>Efficiency of Back up Water Heater</v>
      </c>
      <c r="B131" s="316">
        <f>HP_1!B77</f>
        <v>0</v>
      </c>
      <c r="C131" s="311" cm="1">
        <f t="array" aca="1" ref="C131" ca="1">INDIRECT($F131&amp;C$90&amp;"!"&amp;$G131)</f>
        <v>0</v>
      </c>
      <c r="D131" s="311" cm="1">
        <f t="array" aca="1" ref="D131" ca="1">INDIRECT($F131&amp;D$90&amp;"!"&amp;$G131)</f>
        <v>0</v>
      </c>
      <c r="E131" s="308">
        <f t="shared" ca="1" si="2"/>
        <v>0</v>
      </c>
      <c r="F131" s="305" t="str">
        <f t="shared" ca="1" si="3"/>
        <v>HP_</v>
      </c>
      <c r="G131" s="305" t="str">
        <f t="shared" ca="1" si="4"/>
        <v>B77</v>
      </c>
      <c r="H131" s="305" t="str">
        <f t="shared" ca="1" si="5"/>
        <v>HP_1!B77</v>
      </c>
    </row>
    <row r="132" spans="1:8" ht="24">
      <c r="A132" s="304" t="str">
        <f>HP_1!A78</f>
        <v>Adjusted Efficiency of Back up Water Heater relative to fuel used by heat pump</v>
      </c>
      <c r="B132" s="316">
        <f>HP_1!B78</f>
        <v>1</v>
      </c>
      <c r="C132" s="311" cm="1">
        <f t="array" aca="1" ref="C132" ca="1">INDIRECT($F132&amp;C$90&amp;"!"&amp;$G132)</f>
        <v>1</v>
      </c>
      <c r="D132" s="311" cm="1">
        <f t="array" aca="1" ref="D132" ca="1">INDIRECT($F132&amp;D$90&amp;"!"&amp;$G132)</f>
        <v>1</v>
      </c>
      <c r="E132" s="308">
        <f t="shared" ca="1" si="2"/>
        <v>1</v>
      </c>
      <c r="F132" s="305" t="str">
        <f t="shared" ca="1" si="3"/>
        <v>HP_</v>
      </c>
      <c r="G132" s="305" t="str">
        <f t="shared" ca="1" si="4"/>
        <v>B78</v>
      </c>
      <c r="H132" s="305" t="str">
        <f t="shared" ca="1" si="5"/>
        <v>HP_1!B78</v>
      </c>
    </row>
    <row r="133" spans="1:8" ht="60">
      <c r="A133" s="304" t="str">
        <f>HP_1!A81</f>
        <v>Source of data</v>
      </c>
      <c r="B133" s="316" t="str">
        <f>HP_1!B81</f>
        <v>Water heating energy efficiency, ηwh</v>
      </c>
      <c r="C133" s="311" t="str" cm="1">
        <f t="array" aca="1" ref="C133" ca="1">INDIRECT($F133&amp;C$90&amp;"!"&amp;$G133)</f>
        <v>Water heating energy efficiency, ηwh</v>
      </c>
      <c r="D133" s="311" t="str" cm="1">
        <f t="array" aca="1" ref="D133" ca="1">INDIRECT($F133&amp;D$90&amp;"!"&amp;$G133)</f>
        <v>Water heating energy efficiency, ηwh</v>
      </c>
      <c r="E133" s="308" t="str">
        <f t="shared" ca="1" si="2"/>
        <v>Water heating energy efficiency, ηwh</v>
      </c>
      <c r="F133" s="305" t="str">
        <f t="shared" ca="1" si="3"/>
        <v>HP_</v>
      </c>
      <c r="G133" s="305" t="str">
        <f t="shared" ca="1" si="4"/>
        <v>B81</v>
      </c>
      <c r="H133" s="305" t="str">
        <f t="shared" ca="1" si="5"/>
        <v>HP_1!B81</v>
      </c>
    </row>
    <row r="134" spans="1:8">
      <c r="A134" s="304" t="str">
        <f>HP_1!A82</f>
        <v>Water heating energy efficiency, ηwh</v>
      </c>
      <c r="B134" s="316">
        <f>HP_1!B82</f>
        <v>0</v>
      </c>
      <c r="C134" s="311" cm="1">
        <f t="array" aca="1" ref="C134" ca="1">INDIRECT($F134&amp;C$90&amp;"!"&amp;$G134)</f>
        <v>0</v>
      </c>
      <c r="D134" s="311" cm="1">
        <f t="array" aca="1" ref="D134" ca="1">INDIRECT($F134&amp;D$90&amp;"!"&amp;$G134)</f>
        <v>0</v>
      </c>
      <c r="E134" s="310">
        <f t="shared" ca="1" si="2"/>
        <v>0</v>
      </c>
      <c r="F134" s="305" t="str">
        <f t="shared" ca="1" si="3"/>
        <v>HP_</v>
      </c>
      <c r="G134" s="305" t="str">
        <f t="shared" ca="1" si="4"/>
        <v>B82</v>
      </c>
      <c r="H134" s="305" t="str">
        <f t="shared" ca="1" si="5"/>
        <v>HP_1!B82</v>
      </c>
    </row>
    <row r="135" spans="1:8">
      <c r="A135" s="304" t="str">
        <f>HP_1!A83</f>
        <v xml:space="preserve">Equivalent Coefficient of Performance </v>
      </c>
      <c r="B135" s="316">
        <f>HP_1!B83</f>
        <v>0</v>
      </c>
      <c r="C135" s="311" cm="1">
        <f t="array" aca="1" ref="C135" ca="1">INDIRECT($F135&amp;C$90&amp;"!"&amp;$G135)</f>
        <v>0</v>
      </c>
      <c r="D135" s="311" cm="1">
        <f t="array" aca="1" ref="D135" ca="1">INDIRECT($F135&amp;D$90&amp;"!"&amp;$G135)</f>
        <v>0</v>
      </c>
      <c r="E135" s="310">
        <f t="shared" ca="1" si="2"/>
        <v>0</v>
      </c>
      <c r="F135" s="305" t="str">
        <f t="shared" ca="1" si="3"/>
        <v>HP_</v>
      </c>
      <c r="G135" s="305" t="str">
        <f t="shared" ca="1" si="4"/>
        <v>B83</v>
      </c>
      <c r="H135" s="305" t="str">
        <f t="shared" ca="1" si="5"/>
        <v>HP_1!B83</v>
      </c>
    </row>
    <row r="136" spans="1:8">
      <c r="A136" s="304" t="str">
        <f>HP_1!A84</f>
        <v>Reference Hot Water Temperature</v>
      </c>
      <c r="B136" s="316" t="str">
        <f>HP_1!B84</f>
        <v xml:space="preserve"> </v>
      </c>
      <c r="C136" s="311" cm="1">
        <f t="array" aca="1" ref="C136" ca="1">INDIRECT($F136&amp;C$90&amp;"!"&amp;$G136)</f>
        <v>0</v>
      </c>
      <c r="D136" s="311" cm="1">
        <f t="array" aca="1" ref="D136" ca="1">INDIRECT($F136&amp;D$90&amp;"!"&amp;$G136)</f>
        <v>0</v>
      </c>
      <c r="E136" s="310">
        <f t="shared" ca="1" si="2"/>
        <v>0</v>
      </c>
      <c r="F136" s="305" t="str">
        <f t="shared" ca="1" si="3"/>
        <v>HP_</v>
      </c>
      <c r="G136" s="305" t="str">
        <f t="shared" ca="1" si="4"/>
        <v>B84</v>
      </c>
      <c r="H136" s="305" t="str">
        <f t="shared" ca="1" si="5"/>
        <v>HP_1!B84</v>
      </c>
    </row>
    <row r="137" spans="1:8">
      <c r="A137" s="304" t="str">
        <f>HP_1!A85</f>
        <v>Required Source Temperature</v>
      </c>
      <c r="B137" s="316">
        <f>HP_1!B85</f>
        <v>7</v>
      </c>
      <c r="C137" s="311" cm="1">
        <f t="array" aca="1" ref="C137" ca="1">INDIRECT($F137&amp;C$90&amp;"!"&amp;$G137)</f>
        <v>7</v>
      </c>
      <c r="D137" s="311" cm="1">
        <f t="array" aca="1" ref="D137" ca="1">INDIRECT($F137&amp;D$90&amp;"!"&amp;$G137)</f>
        <v>7</v>
      </c>
      <c r="E137" s="310">
        <f t="shared" ca="1" si="2"/>
        <v>7</v>
      </c>
      <c r="F137" s="305" t="str">
        <f t="shared" ca="1" si="3"/>
        <v>HP_</v>
      </c>
      <c r="G137" s="305" t="str">
        <f t="shared" ca="1" si="4"/>
        <v>B85</v>
      </c>
      <c r="H137" s="305" t="str">
        <f t="shared" ca="1" si="5"/>
        <v>HP_1!B85</v>
      </c>
    </row>
    <row r="138" spans="1:8">
      <c r="A138" s="304" t="str">
        <f>HP_1!A86</f>
        <v>Capacity of Heat Pump</v>
      </c>
      <c r="B138" s="316">
        <f>HP_1!B86</f>
        <v>0</v>
      </c>
      <c r="C138" s="311" cm="1">
        <f t="array" aca="1" ref="C138" ca="1">INDIRECT($F138&amp;C$90&amp;"!"&amp;$G138)</f>
        <v>0</v>
      </c>
      <c r="D138" s="311" cm="1">
        <f t="array" aca="1" ref="D138" ca="1">INDIRECT($F138&amp;D$90&amp;"!"&amp;$G138)</f>
        <v>0</v>
      </c>
      <c r="E138" s="310">
        <f t="shared" ca="1" si="2"/>
        <v>0</v>
      </c>
      <c r="F138" s="305" t="str">
        <f t="shared" ca="1" si="3"/>
        <v>HP_</v>
      </c>
      <c r="G138" s="305" t="str">
        <f t="shared" ca="1" si="4"/>
        <v>B86</v>
      </c>
      <c r="H138" s="305" t="str">
        <f t="shared" ca="1" si="5"/>
        <v>HP_1!B86</v>
      </c>
    </row>
    <row r="139" spans="1:8">
      <c r="A139" s="304" t="str">
        <f>HP_1!A87</f>
        <v>Declared Load Profile</v>
      </c>
      <c r="B139" s="316" t="str">
        <f>HP_1!B87</f>
        <v>M</v>
      </c>
      <c r="C139" s="311" t="str" cm="1">
        <f t="array" aca="1" ref="C139" ca="1">INDIRECT($F139&amp;C$90&amp;"!"&amp;$G139)</f>
        <v>M</v>
      </c>
      <c r="D139" s="311" t="str" cm="1">
        <f t="array" aca="1" ref="D139" ca="1">INDIRECT($F139&amp;D$90&amp;"!"&amp;$G139)</f>
        <v>M</v>
      </c>
      <c r="E139" s="308" t="str">
        <f t="shared" ca="1" si="2"/>
        <v>M</v>
      </c>
      <c r="F139" s="305" t="str">
        <f t="shared" ca="1" si="3"/>
        <v>HP_</v>
      </c>
      <c r="G139" s="305" t="str">
        <f t="shared" ca="1" si="4"/>
        <v>B87</v>
      </c>
      <c r="H139" s="305" t="str">
        <f t="shared" ca="1" si="5"/>
        <v>HP_1!B87</v>
      </c>
    </row>
    <row r="140" spans="1:8">
      <c r="A140" s="304" t="str">
        <f>HP_1!A88</f>
        <v>Standby Heat Loss</v>
      </c>
      <c r="B140" s="316">
        <f>HP_1!B88</f>
        <v>0</v>
      </c>
      <c r="C140" s="311" cm="1">
        <f t="array" aca="1" ref="C140" ca="1">INDIRECT($F140&amp;C$90&amp;"!"&amp;$G140)</f>
        <v>0</v>
      </c>
      <c r="D140" s="311" cm="1">
        <f t="array" aca="1" ref="D140" ca="1">INDIRECT($F140&amp;D$90&amp;"!"&amp;$G140)</f>
        <v>0</v>
      </c>
      <c r="E140" s="310">
        <f t="shared" ca="1" si="2"/>
        <v>0</v>
      </c>
      <c r="F140" s="305" t="str">
        <f t="shared" ca="1" si="3"/>
        <v>HP_</v>
      </c>
      <c r="G140" s="305" t="str">
        <f t="shared" ca="1" si="4"/>
        <v>B88</v>
      </c>
      <c r="H140" s="305" t="str">
        <f t="shared" ca="1" si="5"/>
        <v>HP_1!B88</v>
      </c>
    </row>
    <row r="141" spans="1:8">
      <c r="A141" s="304" t="str">
        <f>HP_1!A89</f>
        <v>Volume of DHW accounted for in test</v>
      </c>
      <c r="B141" s="316">
        <f>HP_1!B89</f>
        <v>0</v>
      </c>
      <c r="C141" s="311" cm="1">
        <f t="array" aca="1" ref="C141" ca="1">INDIRECT($F141&amp;C$90&amp;"!"&amp;$G141)</f>
        <v>0</v>
      </c>
      <c r="D141" s="311" cm="1">
        <f t="array" aca="1" ref="D141" ca="1">INDIRECT($F141&amp;D$90&amp;"!"&amp;$G141)</f>
        <v>0</v>
      </c>
      <c r="E141" s="310">
        <f t="shared" ca="1" si="2"/>
        <v>0</v>
      </c>
      <c r="F141" s="305" t="str">
        <f t="shared" ca="1" si="3"/>
        <v>HP_</v>
      </c>
      <c r="G141" s="305" t="str">
        <f t="shared" ca="1" si="4"/>
        <v>B89</v>
      </c>
      <c r="H141" s="305" t="str">
        <f t="shared" ca="1" si="5"/>
        <v>HP_1!B89</v>
      </c>
    </row>
    <row r="142" spans="1:8">
      <c r="A142" s="304" t="str">
        <f>HP_1!A92</f>
        <v>Is the Heat Pump Listed on HARP</v>
      </c>
      <c r="B142" s="316" t="str">
        <f>HP_1!B92</f>
        <v>Yes</v>
      </c>
      <c r="C142" s="311" t="str" cm="1">
        <f t="array" aca="1" ref="C142" ca="1">INDIRECT($F142&amp;C$90&amp;"!"&amp;$G142)</f>
        <v>Yes</v>
      </c>
      <c r="D142" s="311" t="str" cm="1">
        <f t="array" aca="1" ref="D142" ca="1">INDIRECT($F142&amp;D$90&amp;"!"&amp;$G142)</f>
        <v>Yes</v>
      </c>
      <c r="E142" s="308" t="str">
        <f t="shared" ca="1" si="2"/>
        <v>Yes</v>
      </c>
      <c r="F142" s="305" t="str">
        <f t="shared" ca="1" si="3"/>
        <v>HP_</v>
      </c>
      <c r="G142" s="305" t="str">
        <f t="shared" ca="1" si="4"/>
        <v>B92</v>
      </c>
      <c r="H142" s="305" t="str">
        <f t="shared" ca="1" si="5"/>
        <v>HP_1!B92</v>
      </c>
    </row>
    <row r="143" spans="1:8" ht="24">
      <c r="A143" s="304" t="str">
        <f>HP_1!A93</f>
        <v>Enter SPF based on DEAP Methodology/ HARP</v>
      </c>
      <c r="B143" s="316">
        <f>HP_1!B93</f>
        <v>3.33</v>
      </c>
      <c r="C143" s="311" cm="1">
        <f t="array" aca="1" ref="C143" ca="1">INDIRECT($F143&amp;C$90&amp;"!"&amp;$G143)</f>
        <v>3.33</v>
      </c>
      <c r="D143" s="311" cm="1">
        <f t="array" aca="1" ref="D143" ca="1">INDIRECT($F143&amp;D$90&amp;"!"&amp;$G143)</f>
        <v>3.33</v>
      </c>
      <c r="E143" s="310">
        <f t="shared" ca="1" si="2"/>
        <v>3.33</v>
      </c>
      <c r="F143" s="305" t="str">
        <f t="shared" ca="1" si="3"/>
        <v>HP_</v>
      </c>
      <c r="G143" s="305" t="str">
        <f t="shared" ca="1" si="4"/>
        <v>B93</v>
      </c>
      <c r="H143" s="305" t="str">
        <f t="shared" ca="1" si="5"/>
        <v>HP_1!B93</v>
      </c>
    </row>
    <row r="144" spans="1:8" ht="24">
      <c r="A144" s="304" t="str">
        <f>HP_1!A94</f>
        <v>Is there load or weather compensation present?</v>
      </c>
      <c r="B144" s="316" t="str">
        <f>HP_1!B94</f>
        <v>Yes</v>
      </c>
      <c r="C144" s="311" t="str" cm="1">
        <f t="array" aca="1" ref="C144" ca="1">INDIRECT($F144&amp;C$90&amp;"!"&amp;$G144)</f>
        <v>Yes</v>
      </c>
      <c r="D144" s="311" t="str" cm="1">
        <f t="array" aca="1" ref="D144" ca="1">INDIRECT($F144&amp;D$90&amp;"!"&amp;$G144)</f>
        <v>Yes</v>
      </c>
      <c r="E144" s="308" t="str">
        <f t="shared" ca="1" si="2"/>
        <v>Yes</v>
      </c>
      <c r="F144" s="305" t="str">
        <f t="shared" ca="1" si="3"/>
        <v>HP_</v>
      </c>
      <c r="G144" s="305" t="str">
        <f t="shared" ca="1" si="4"/>
        <v>B94</v>
      </c>
      <c r="H144" s="305" t="str">
        <f t="shared" ca="1" si="5"/>
        <v>HP_1!B94</v>
      </c>
    </row>
    <row r="145" spans="1:8" ht="24">
      <c r="A145" s="304" t="str">
        <f>HP_1!A95</f>
        <v>Does the heat pump have an Integral Immersion</v>
      </c>
      <c r="B145" s="316" t="str">
        <f>HP_1!B95</f>
        <v>No</v>
      </c>
      <c r="C145" s="311" t="str" cm="1">
        <f t="array" aca="1" ref="C145" ca="1">INDIRECT($F145&amp;C$90&amp;"!"&amp;$G145)</f>
        <v>No</v>
      </c>
      <c r="D145" s="311" t="str" cm="1">
        <f t="array" aca="1" ref="D145" ca="1">INDIRECT($F145&amp;D$90&amp;"!"&amp;$G145)</f>
        <v>No</v>
      </c>
      <c r="E145" s="308" t="str">
        <f t="shared" ca="1" si="2"/>
        <v>No</v>
      </c>
      <c r="F145" s="305" t="str">
        <f t="shared" ca="1" si="3"/>
        <v>HP_</v>
      </c>
      <c r="G145" s="305" t="str">
        <f t="shared" ca="1" si="4"/>
        <v>B95</v>
      </c>
      <c r="H145" s="305" t="str">
        <f t="shared" ca="1" si="5"/>
        <v>HP_1!B95</v>
      </c>
    </row>
    <row r="146" spans="1:8" ht="24">
      <c r="A146" s="304" t="str">
        <f>HP_1!A96</f>
        <v>Does heat pump reach a flow temperature of &gt;=65oC</v>
      </c>
      <c r="B146" s="316" t="str">
        <f>HP_1!B96</f>
        <v>Yes</v>
      </c>
      <c r="C146" s="311" t="str" cm="1">
        <f t="array" aca="1" ref="C146" ca="1">INDIRECT($F146&amp;C$90&amp;"!"&amp;$G146)</f>
        <v>Yes</v>
      </c>
      <c r="D146" s="311" t="str" cm="1">
        <f t="array" aca="1" ref="D146" ca="1">INDIRECT($F146&amp;D$90&amp;"!"&amp;$G146)</f>
        <v>Yes</v>
      </c>
      <c r="E146" s="308" t="str">
        <f t="shared" ca="1" si="2"/>
        <v>Yes</v>
      </c>
      <c r="F146" s="305" t="str">
        <f t="shared" ca="1" si="3"/>
        <v>HP_</v>
      </c>
      <c r="G146" s="305" t="str">
        <f t="shared" ca="1" si="4"/>
        <v>B96</v>
      </c>
      <c r="H146" s="305" t="str">
        <f t="shared" ca="1" si="5"/>
        <v>HP_1!B96</v>
      </c>
    </row>
    <row r="147" spans="1:8">
      <c r="A147" s="304" t="str">
        <f>HP_1!A100</f>
        <v>Coefficient of Performance</v>
      </c>
      <c r="B147" s="316">
        <f>HP_1!B100</f>
        <v>3.2</v>
      </c>
      <c r="C147" s="311" cm="1">
        <f t="array" aca="1" ref="C147" ca="1">INDIRECT($F147&amp;C$90&amp;"!"&amp;$G147)</f>
        <v>3.2</v>
      </c>
      <c r="D147" s="311" cm="1">
        <f t="array" aca="1" ref="D147" ca="1">INDIRECT($F147&amp;D$90&amp;"!"&amp;$G147)</f>
        <v>3.2</v>
      </c>
      <c r="E147" s="310">
        <f t="shared" ca="1" si="2"/>
        <v>3.2</v>
      </c>
      <c r="F147" s="305" t="str">
        <f t="shared" ca="1" si="3"/>
        <v>HP_</v>
      </c>
      <c r="G147" s="305" t="str">
        <f t="shared" ca="1" si="4"/>
        <v>B100</v>
      </c>
      <c r="H147" s="305" t="str">
        <f t="shared" ca="1" si="5"/>
        <v>HP_1!B100</v>
      </c>
    </row>
    <row r="148" spans="1:8">
      <c r="A148" s="304" t="str">
        <f>HP_1!A101</f>
        <v>Reference Hot Water Temperature</v>
      </c>
      <c r="B148" s="316">
        <f>HP_1!B101</f>
        <v>54</v>
      </c>
      <c r="C148" s="311" cm="1">
        <f t="array" aca="1" ref="C148" ca="1">INDIRECT($F148&amp;C$90&amp;"!"&amp;$G148)</f>
        <v>54</v>
      </c>
      <c r="D148" s="311" cm="1">
        <f t="array" aca="1" ref="D148" ca="1">INDIRECT($F148&amp;D$90&amp;"!"&amp;$G148)</f>
        <v>54</v>
      </c>
      <c r="E148" s="310">
        <f t="shared" ca="1" si="2"/>
        <v>54</v>
      </c>
      <c r="F148" s="305" t="str">
        <f t="shared" ca="1" si="3"/>
        <v>HP_</v>
      </c>
      <c r="G148" s="305" t="str">
        <f t="shared" ca="1" si="4"/>
        <v>B101</v>
      </c>
      <c r="H148" s="305" t="str">
        <f t="shared" ca="1" si="5"/>
        <v>HP_1!B101</v>
      </c>
    </row>
    <row r="149" spans="1:8">
      <c r="A149" s="304" t="str">
        <f>HP_1!A102</f>
        <v xml:space="preserve">Heating Capacity DHW </v>
      </c>
      <c r="B149" s="316">
        <f>HP_1!B102</f>
        <v>7</v>
      </c>
      <c r="C149" s="311" cm="1">
        <f t="array" aca="1" ref="C149" ca="1">INDIRECT($F149&amp;C$90&amp;"!"&amp;$G149)</f>
        <v>7</v>
      </c>
      <c r="D149" s="311" cm="1">
        <f t="array" aca="1" ref="D149" ca="1">INDIRECT($F149&amp;D$90&amp;"!"&amp;$G149)</f>
        <v>7</v>
      </c>
      <c r="E149" s="310">
        <f t="shared" ca="1" si="2"/>
        <v>7</v>
      </c>
      <c r="F149" s="305" t="str">
        <f t="shared" ca="1" si="3"/>
        <v>HP_</v>
      </c>
      <c r="G149" s="305" t="str">
        <f t="shared" ca="1" si="4"/>
        <v>B102</v>
      </c>
      <c r="H149" s="305" t="str">
        <f t="shared" ca="1" si="5"/>
        <v>HP_1!B102</v>
      </c>
    </row>
    <row r="150" spans="1:8">
      <c r="A150" s="304">
        <f>HP_1!A103</f>
        <v>0</v>
      </c>
      <c r="B150" s="316">
        <f>HP_1!B103</f>
        <v>0</v>
      </c>
      <c r="C150" s="311" cm="1">
        <f t="array" aca="1" ref="C150" ca="1">INDIRECT($F150&amp;C$90&amp;"!"&amp;$G150)</f>
        <v>0</v>
      </c>
      <c r="D150" s="311" cm="1">
        <f t="array" aca="1" ref="D150" ca="1">INDIRECT($F150&amp;D$90&amp;"!"&amp;$G150)</f>
        <v>0</v>
      </c>
      <c r="E150" s="310">
        <f t="shared" ca="1" si="2"/>
        <v>0</v>
      </c>
      <c r="F150" s="305" t="str">
        <f t="shared" ca="1" si="3"/>
        <v>HP_</v>
      </c>
      <c r="G150" s="305" t="str">
        <f t="shared" ca="1" si="4"/>
        <v>B103</v>
      </c>
      <c r="H150" s="305" t="str">
        <f t="shared" ca="1" si="5"/>
        <v>HP_1!B103</v>
      </c>
    </row>
    <row r="151" spans="1:8" ht="24">
      <c r="A151" s="304" t="str">
        <f>HP_1!A104</f>
        <v>Results: See DEAP Entries tab for detail on results for use in DEAP</v>
      </c>
      <c r="B151" s="316">
        <f>HP_1!B104</f>
        <v>0</v>
      </c>
      <c r="C151" s="311" cm="1">
        <f t="array" aca="1" ref="C151" ca="1">INDIRECT($F151&amp;C$90&amp;"!"&amp;$G151)</f>
        <v>0</v>
      </c>
      <c r="D151" s="311" cm="1">
        <f t="array" aca="1" ref="D151" ca="1">INDIRECT($F151&amp;D$90&amp;"!"&amp;$G151)</f>
        <v>0</v>
      </c>
      <c r="E151" s="310">
        <f t="shared" ca="1" si="2"/>
        <v>0</v>
      </c>
      <c r="F151" s="305" t="str">
        <f t="shared" ca="1" si="3"/>
        <v>HP_</v>
      </c>
      <c r="G151" s="305" t="str">
        <f t="shared" ca="1" si="4"/>
        <v>B104</v>
      </c>
      <c r="H151" s="305" t="str">
        <f t="shared" ca="1" si="5"/>
        <v>HP_1!B104</v>
      </c>
    </row>
    <row r="152" spans="1:8">
      <c r="A152" s="304" t="str">
        <f>HP_1!A105</f>
        <v>Results</v>
      </c>
      <c r="B152" s="316">
        <f>HP_1!B105</f>
        <v>0</v>
      </c>
      <c r="C152" s="311" cm="1">
        <f t="array" aca="1" ref="C152" ca="1">INDIRECT($F152&amp;C$90&amp;"!"&amp;$G152)</f>
        <v>0</v>
      </c>
      <c r="D152" s="311" cm="1">
        <f t="array" aca="1" ref="D152" ca="1">INDIRECT($F152&amp;D$90&amp;"!"&amp;$G152)</f>
        <v>0</v>
      </c>
      <c r="E152" s="310">
        <f t="shared" ca="1" si="2"/>
        <v>0</v>
      </c>
      <c r="F152" s="305" t="str">
        <f t="shared" ca="1" si="3"/>
        <v>HP_</v>
      </c>
      <c r="G152" s="305" t="str">
        <f t="shared" ca="1" si="4"/>
        <v>B105</v>
      </c>
      <c r="H152" s="305" t="str">
        <f t="shared" ca="1" si="5"/>
        <v>HP_1!B105</v>
      </c>
    </row>
    <row r="153" spans="1:8">
      <c r="A153" s="304" t="str">
        <f>HP_1!A106</f>
        <v>Efficiency of Main Heating System</v>
      </c>
      <c r="B153" s="316" t="e">
        <f>HP_1!B106</f>
        <v>#DIV/0!</v>
      </c>
      <c r="C153" s="311" t="e" cm="1">
        <f t="array" aca="1" ref="C153" ca="1">INDIRECT($F153&amp;C$90&amp;"!"&amp;$G153)</f>
        <v>#VALUE!</v>
      </c>
      <c r="D153" s="311" t="e" cm="1">
        <f t="array" aca="1" ref="D153" ca="1">INDIRECT($F153&amp;D$90&amp;"!"&amp;$G153)</f>
        <v>#VALUE!</v>
      </c>
      <c r="E153" s="310" t="e">
        <f t="shared" ca="1" si="2"/>
        <v>#VALUE!</v>
      </c>
      <c r="F153" s="305" t="str">
        <f t="shared" ca="1" si="3"/>
        <v>HP_</v>
      </c>
      <c r="G153" s="305" t="str">
        <f t="shared" ca="1" si="4"/>
        <v>B106</v>
      </c>
      <c r="H153" s="305" t="str">
        <f t="shared" ca="1" si="5"/>
        <v>HP_1!B106</v>
      </c>
    </row>
    <row r="154" spans="1:8">
      <c r="A154" s="304" t="str">
        <f>HP_1!A107</f>
        <v>Efficiency Adjustment Factor - Main Heating</v>
      </c>
      <c r="B154" s="316">
        <f>HP_1!B107</f>
        <v>1</v>
      </c>
      <c r="C154" s="311" cm="1">
        <f t="array" aca="1" ref="C154" ca="1">INDIRECT($F154&amp;C$90&amp;"!"&amp;$G154)</f>
        <v>1</v>
      </c>
      <c r="D154" s="311" cm="1">
        <f t="array" aca="1" ref="D154" ca="1">INDIRECT($F154&amp;D$90&amp;"!"&amp;$G154)</f>
        <v>1</v>
      </c>
      <c r="E154" s="310">
        <f t="shared" ca="1" si="2"/>
        <v>1</v>
      </c>
      <c r="F154" s="305" t="str">
        <f t="shared" ca="1" si="3"/>
        <v>HP_</v>
      </c>
      <c r="G154" s="305" t="str">
        <f t="shared" ca="1" si="4"/>
        <v>B107</v>
      </c>
      <c r="H154" s="305" t="str">
        <f t="shared" ca="1" si="5"/>
        <v>HP_1!B107</v>
      </c>
    </row>
    <row r="155" spans="1:8">
      <c r="A155" s="304" t="str">
        <f>HP_1!A108</f>
        <v>Efficiency of Main Hot Water System</v>
      </c>
      <c r="B155" s="316" t="e">
        <f>HP_1!B108</f>
        <v>#DIV/0!</v>
      </c>
      <c r="C155" s="311" t="e" cm="1">
        <f t="array" aca="1" ref="C155" ca="1">INDIRECT($F155&amp;C$90&amp;"!"&amp;$G155)</f>
        <v>#DIV/0!</v>
      </c>
      <c r="D155" s="311" t="e" cm="1">
        <f t="array" aca="1" ref="D155" ca="1">INDIRECT($F155&amp;D$90&amp;"!"&amp;$G155)</f>
        <v>#DIV/0!</v>
      </c>
      <c r="E155" s="310" t="e">
        <f t="shared" ca="1" si="2"/>
        <v>#DIV/0!</v>
      </c>
      <c r="F155" s="305" t="str">
        <f t="shared" ca="1" si="3"/>
        <v>HP_</v>
      </c>
      <c r="G155" s="305" t="str">
        <f t="shared" ca="1" si="4"/>
        <v>B108</v>
      </c>
      <c r="H155" s="305" t="str">
        <f t="shared" ca="1" si="5"/>
        <v>HP_1!B108</v>
      </c>
    </row>
    <row r="156" spans="1:8" ht="24">
      <c r="A156" s="304" t="str">
        <f>HP_1!A109</f>
        <v>Efficiency Adjustment Factor - Main Hot Water</v>
      </c>
      <c r="B156" s="316">
        <f>HP_1!B109</f>
        <v>1</v>
      </c>
      <c r="C156" s="311" cm="1">
        <f t="array" aca="1" ref="C156" ca="1">INDIRECT($F156&amp;C$90&amp;"!"&amp;$G156)</f>
        <v>1</v>
      </c>
      <c r="D156" s="311" cm="1">
        <f t="array" aca="1" ref="D156" ca="1">INDIRECT($F156&amp;D$90&amp;"!"&amp;$G156)</f>
        <v>1</v>
      </c>
      <c r="E156" s="310">
        <f t="shared" ca="1" si="2"/>
        <v>1</v>
      </c>
      <c r="F156" s="305" t="str">
        <f t="shared" ca="1" si="3"/>
        <v>HP_</v>
      </c>
      <c r="G156" s="305" t="str">
        <f t="shared" ca="1" si="4"/>
        <v>B109</v>
      </c>
      <c r="H156" s="305" t="str">
        <f t="shared" ca="1" si="5"/>
        <v>HP_1!B109</v>
      </c>
    </row>
    <row r="157" spans="1:8">
      <c r="A157" s="304">
        <f>HP_1!A110</f>
        <v>0</v>
      </c>
      <c r="B157" s="316">
        <f>HP_1!B110</f>
        <v>0</v>
      </c>
      <c r="C157" s="311" cm="1">
        <f t="array" aca="1" ref="C157" ca="1">INDIRECT($F157&amp;C$90&amp;"!"&amp;$G157)</f>
        <v>0</v>
      </c>
      <c r="D157" s="311" cm="1">
        <f t="array" aca="1" ref="D157" ca="1">INDIRECT($F157&amp;D$90&amp;"!"&amp;$G157)</f>
        <v>0</v>
      </c>
      <c r="E157" s="310">
        <f t="shared" ref="E157:E185" ca="1" si="6">VLOOKUP(A157,A157:D157,$K$1+1,FALSE)</f>
        <v>0</v>
      </c>
      <c r="F157" s="305" t="str">
        <f t="shared" ref="F157:F185" ca="1" si="7">LEFT(H157,FIND("1",H157)-1)</f>
        <v>HP_</v>
      </c>
      <c r="G157" s="305" t="str">
        <f t="shared" ref="G157:G185" ca="1" si="8">RIGHT(H157,LEN(H157)-FIND("!",H157))</f>
        <v>B110</v>
      </c>
      <c r="H157" s="305" t="str">
        <f t="shared" ref="H157:H185" ca="1" si="9">SUBSTITUTE( _xlfn.FORMULATEXT(B157),"=","")</f>
        <v>HP_1!B110</v>
      </c>
    </row>
    <row r="158" spans="1:8" ht="24">
      <c r="A158" s="304" t="str">
        <f>HP_1!A111</f>
        <v>% Renewable Contribution from Exhaust Heat Pump for Space Heating</v>
      </c>
      <c r="B158" s="316">
        <f>HP_1!B111</f>
        <v>1</v>
      </c>
      <c r="C158" s="311" cm="1">
        <f t="array" aca="1" ref="C158" ca="1">INDIRECT($F158&amp;C$90&amp;"!"&amp;$G158)</f>
        <v>1</v>
      </c>
      <c r="D158" s="311" cm="1">
        <f t="array" aca="1" ref="D158" ca="1">INDIRECT($F158&amp;D$90&amp;"!"&amp;$G158)</f>
        <v>1</v>
      </c>
      <c r="E158" s="310">
        <f t="shared" ca="1" si="6"/>
        <v>1</v>
      </c>
      <c r="F158" s="305" t="str">
        <f t="shared" ca="1" si="7"/>
        <v>HP_</v>
      </c>
      <c r="G158" s="305" t="str">
        <f t="shared" ca="1" si="8"/>
        <v>B111</v>
      </c>
      <c r="H158" s="305" t="str">
        <f t="shared" ca="1" si="9"/>
        <v>HP_1!B111</v>
      </c>
    </row>
    <row r="159" spans="1:8" ht="24">
      <c r="A159" s="304" t="str">
        <f>HP_1!A112</f>
        <v>% Renewable Contribution from Exhaust Heat Pump for Water Heating</v>
      </c>
      <c r="B159" s="316">
        <f>HP_1!B112</f>
        <v>1</v>
      </c>
      <c r="C159" s="311" cm="1">
        <f t="array" aca="1" ref="C159" ca="1">INDIRECT($F159&amp;C$90&amp;"!"&amp;$G159)</f>
        <v>1</v>
      </c>
      <c r="D159" s="311" cm="1">
        <f t="array" aca="1" ref="D159" ca="1">INDIRECT($F159&amp;D$90&amp;"!"&amp;$G159)</f>
        <v>1</v>
      </c>
      <c r="E159" s="310">
        <f t="shared" ca="1" si="6"/>
        <v>1</v>
      </c>
      <c r="F159" s="305" t="str">
        <f t="shared" ca="1" si="7"/>
        <v>HP_</v>
      </c>
      <c r="G159" s="305" t="str">
        <f t="shared" ca="1" si="8"/>
        <v>B112</v>
      </c>
      <c r="H159" s="305" t="str">
        <f t="shared" ca="1" si="9"/>
        <v>HP_1!B112</v>
      </c>
    </row>
    <row r="160" spans="1:8">
      <c r="A160" s="304">
        <f>HP_1!A113</f>
        <v>0</v>
      </c>
      <c r="B160" s="316">
        <f>HP_1!B113</f>
        <v>0</v>
      </c>
      <c r="C160" s="311" cm="1">
        <f t="array" aca="1" ref="C160" ca="1">INDIRECT($F160&amp;C$90&amp;"!"&amp;$G160)</f>
        <v>0</v>
      </c>
      <c r="D160" s="311" cm="1">
        <f t="array" aca="1" ref="D160" ca="1">INDIRECT($F160&amp;D$90&amp;"!"&amp;$G160)</f>
        <v>0</v>
      </c>
      <c r="E160" s="310">
        <f t="shared" ca="1" si="6"/>
        <v>0</v>
      </c>
      <c r="F160" s="305" t="str">
        <f t="shared" ca="1" si="7"/>
        <v>HP_</v>
      </c>
      <c r="G160" s="305" t="str">
        <f t="shared" ca="1" si="8"/>
        <v>B113</v>
      </c>
      <c r="H160" s="305" t="str">
        <f t="shared" ca="1" si="9"/>
        <v>HP_1!B113</v>
      </c>
    </row>
    <row r="161" spans="1:8">
      <c r="A161" s="304">
        <f>HP_1!A114</f>
        <v>0</v>
      </c>
      <c r="B161" s="316">
        <f>HP_1!B114</f>
        <v>0</v>
      </c>
      <c r="C161" s="311" cm="1">
        <f t="array" aca="1" ref="C161" ca="1">INDIRECT($F161&amp;C$90&amp;"!"&amp;$G161)</f>
        <v>0</v>
      </c>
      <c r="D161" s="311" cm="1">
        <f t="array" aca="1" ref="D161" ca="1">INDIRECT($F161&amp;D$90&amp;"!"&amp;$G161)</f>
        <v>0</v>
      </c>
      <c r="E161" s="310">
        <f t="shared" ca="1" si="6"/>
        <v>0</v>
      </c>
      <c r="F161" s="305" t="str">
        <f t="shared" ca="1" si="7"/>
        <v>HP_</v>
      </c>
      <c r="G161" s="305" t="str">
        <f t="shared" ca="1" si="8"/>
        <v>B114</v>
      </c>
      <c r="H161" s="305" t="str">
        <f t="shared" ca="1" si="9"/>
        <v>HP_1!B114</v>
      </c>
    </row>
    <row r="162" spans="1:8">
      <c r="A162" s="304" t="str">
        <f>HP_1!A115</f>
        <v>% of space heating Provided by Heat Pump</v>
      </c>
      <c r="B162" s="316" t="e">
        <f>HP_1!B115</f>
        <v>#DIV/0!</v>
      </c>
      <c r="C162" s="311" t="e" cm="1">
        <f t="array" aca="1" ref="C162" ca="1">INDIRECT($F162&amp;C$90&amp;"!"&amp;$G162)</f>
        <v>#VALUE!</v>
      </c>
      <c r="D162" s="311" t="e" cm="1">
        <f t="array" aca="1" ref="D162" ca="1">INDIRECT($F162&amp;D$90&amp;"!"&amp;$G162)</f>
        <v>#VALUE!</v>
      </c>
      <c r="E162" s="310" t="e">
        <f t="shared" ca="1" si="6"/>
        <v>#VALUE!</v>
      </c>
      <c r="F162" s="305" t="str">
        <f t="shared" ca="1" si="7"/>
        <v>HP_</v>
      </c>
      <c r="G162" s="305" t="str">
        <f t="shared" ca="1" si="8"/>
        <v>B115</v>
      </c>
      <c r="H162" s="305" t="str">
        <f t="shared" ca="1" si="9"/>
        <v>HP_1!B115</v>
      </c>
    </row>
    <row r="163" spans="1:8">
      <c r="A163" s="304" t="str">
        <f>HP_1!A116</f>
        <v>% of Hot Water Provided by Heat Pump</v>
      </c>
      <c r="B163" s="316" t="e">
        <f>HP_1!B116</f>
        <v>#VALUE!</v>
      </c>
      <c r="C163" s="311" cm="1">
        <f t="array" aca="1" ref="C163" ca="1">INDIRECT($F163&amp;C$90&amp;"!"&amp;$G163)</f>
        <v>-0.18181818181818188</v>
      </c>
      <c r="D163" s="311" cm="1">
        <f t="array" aca="1" ref="D163" ca="1">INDIRECT($F163&amp;D$90&amp;"!"&amp;$G163)</f>
        <v>-0.18181818181818188</v>
      </c>
      <c r="E163" s="310">
        <f t="shared" ca="1" si="6"/>
        <v>-0.18181818181818188</v>
      </c>
      <c r="F163" s="305" t="str">
        <f t="shared" ca="1" si="7"/>
        <v>HP_</v>
      </c>
      <c r="G163" s="305" t="str">
        <f t="shared" ca="1" si="8"/>
        <v>B116</v>
      </c>
      <c r="H163" s="305" t="str">
        <f t="shared" ca="1" si="9"/>
        <v>HP_1!B116</v>
      </c>
    </row>
    <row r="164" spans="1:8">
      <c r="A164" s="304">
        <f>HP_1!A117</f>
        <v>0</v>
      </c>
      <c r="B164" s="316">
        <f>HP_1!B117</f>
        <v>0</v>
      </c>
      <c r="C164" s="311" cm="1">
        <f t="array" aca="1" ref="C164" ca="1">INDIRECT($F164&amp;C$90&amp;"!"&amp;$G164)</f>
        <v>0</v>
      </c>
      <c r="D164" s="311" cm="1">
        <f t="array" aca="1" ref="D164" ca="1">INDIRECT($F164&amp;D$90&amp;"!"&amp;$G164)</f>
        <v>0</v>
      </c>
      <c r="E164" s="310">
        <f t="shared" ca="1" si="6"/>
        <v>0</v>
      </c>
      <c r="F164" s="305" t="str">
        <f t="shared" ca="1" si="7"/>
        <v>HP_</v>
      </c>
      <c r="G164" s="305" t="str">
        <f t="shared" ca="1" si="8"/>
        <v>B117</v>
      </c>
      <c r="H164" s="305" t="str">
        <f t="shared" ca="1" si="9"/>
        <v>HP_1!B117</v>
      </c>
    </row>
    <row r="165" spans="1:8" ht="24">
      <c r="A165" s="304" t="str">
        <f>HP_1!A118</f>
        <v>Calculated environmental energy in this dwelling</v>
      </c>
      <c r="B165" s="316">
        <f>HP_1!B118</f>
        <v>0</v>
      </c>
      <c r="C165" s="311" cm="1">
        <f t="array" aca="1" ref="C165" ca="1">INDIRECT($F165&amp;C$90&amp;"!"&amp;$G165)</f>
        <v>0</v>
      </c>
      <c r="D165" s="311" cm="1">
        <f t="array" aca="1" ref="D165" ca="1">INDIRECT($F165&amp;D$90&amp;"!"&amp;$G165)</f>
        <v>0</v>
      </c>
      <c r="E165" s="310">
        <f t="shared" ca="1" si="6"/>
        <v>0</v>
      </c>
      <c r="F165" s="305" t="str">
        <f t="shared" ca="1" si="7"/>
        <v>HP_</v>
      </c>
      <c r="G165" s="305" t="str">
        <f t="shared" ca="1" si="8"/>
        <v>B118</v>
      </c>
      <c r="H165" s="305" t="str">
        <f t="shared" ca="1" si="9"/>
        <v>HP_1!B118</v>
      </c>
    </row>
    <row r="166" spans="1:8">
      <c r="A166" s="304">
        <f>HP_1!A119</f>
        <v>0</v>
      </c>
      <c r="B166" s="316">
        <f>HP_1!B119</f>
        <v>0</v>
      </c>
      <c r="C166" s="311" cm="1">
        <f t="array" aca="1" ref="C166" ca="1">INDIRECT($F166&amp;C$90&amp;"!"&amp;$G166)</f>
        <v>0</v>
      </c>
      <c r="D166" s="311" cm="1">
        <f t="array" aca="1" ref="D166" ca="1">INDIRECT($F166&amp;D$90&amp;"!"&amp;$G166)</f>
        <v>0</v>
      </c>
      <c r="E166" s="310">
        <f t="shared" ca="1" si="6"/>
        <v>0</v>
      </c>
      <c r="F166" s="305" t="str">
        <f t="shared" ca="1" si="7"/>
        <v>HP_</v>
      </c>
      <c r="G166" s="305" t="str">
        <f t="shared" ca="1" si="8"/>
        <v>B119</v>
      </c>
      <c r="H166" s="305" t="str">
        <f t="shared" ca="1" si="9"/>
        <v>HP_1!B119</v>
      </c>
    </row>
    <row r="167" spans="1:8" ht="36">
      <c r="A167" s="304" t="str">
        <f>HP_1!A120</f>
        <v>Heat pump standalone without backup (not accounting for Exhaust adjustment)</v>
      </c>
      <c r="B167" s="316" t="str">
        <f>HP_1!B120</f>
        <v>Heat Pump Efficiency</v>
      </c>
      <c r="C167" s="311" t="str" cm="1">
        <f t="array" aca="1" ref="C167" ca="1">INDIRECT($F167&amp;C$90&amp;"!"&amp;$G167)</f>
        <v>Heat Pump Efficiency</v>
      </c>
      <c r="D167" s="311" t="str" cm="1">
        <f t="array" aca="1" ref="D167" ca="1">INDIRECT($F167&amp;D$90&amp;"!"&amp;$G167)</f>
        <v>Heat Pump Efficiency</v>
      </c>
      <c r="E167" s="310" t="str">
        <f t="shared" ca="1" si="6"/>
        <v>Heat Pump Efficiency</v>
      </c>
      <c r="F167" s="305" t="str">
        <f t="shared" ca="1" si="7"/>
        <v>HP_</v>
      </c>
      <c r="G167" s="305" t="str">
        <f t="shared" ca="1" si="8"/>
        <v>B120</v>
      </c>
      <c r="H167" s="305" t="str">
        <f t="shared" ca="1" si="9"/>
        <v>HP_1!B120</v>
      </c>
    </row>
    <row r="168" spans="1:8">
      <c r="A168" s="304" t="str">
        <f>HP_1!A121</f>
        <v>Space heating</v>
      </c>
      <c r="B168" s="316" t="e">
        <f>HP_1!B121</f>
        <v>#DIV/0!</v>
      </c>
      <c r="C168" s="311" t="e" cm="1">
        <f t="array" aca="1" ref="C168" ca="1">INDIRECT($F168&amp;C$90&amp;"!"&amp;$G168)</f>
        <v>#VALUE!</v>
      </c>
      <c r="D168" s="311" t="e" cm="1">
        <f t="array" aca="1" ref="D168" ca="1">INDIRECT($F168&amp;D$90&amp;"!"&amp;$G168)</f>
        <v>#VALUE!</v>
      </c>
      <c r="E168" s="310" t="e">
        <f t="shared" ca="1" si="6"/>
        <v>#VALUE!</v>
      </c>
      <c r="F168" s="305" t="str">
        <f t="shared" ca="1" si="7"/>
        <v>HP_</v>
      </c>
      <c r="G168" s="305" t="str">
        <f t="shared" ca="1" si="8"/>
        <v>B121</v>
      </c>
      <c r="H168" s="305" t="str">
        <f t="shared" ca="1" si="9"/>
        <v>HP_1!B121</v>
      </c>
    </row>
    <row r="169" spans="1:8">
      <c r="A169" s="304" t="str">
        <f>HP_1!A122</f>
        <v>Water heating</v>
      </c>
      <c r="B169" s="316">
        <f>HP_1!B122</f>
        <v>0</v>
      </c>
      <c r="C169" s="311" cm="1">
        <f t="array" aca="1" ref="C169" ca="1">INDIRECT($F169&amp;C$90&amp;"!"&amp;$G169)</f>
        <v>0</v>
      </c>
      <c r="D169" s="311" cm="1">
        <f t="array" aca="1" ref="D169" ca="1">INDIRECT($F169&amp;D$90&amp;"!"&amp;$G169)</f>
        <v>0</v>
      </c>
      <c r="E169" s="310">
        <f t="shared" ca="1" si="6"/>
        <v>0</v>
      </c>
      <c r="F169" s="305" t="str">
        <f t="shared" ca="1" si="7"/>
        <v>HP_</v>
      </c>
      <c r="G169" s="305" t="str">
        <f t="shared" ca="1" si="8"/>
        <v>B122</v>
      </c>
      <c r="H169" s="305" t="str">
        <f t="shared" ca="1" si="9"/>
        <v>HP_1!B122</v>
      </c>
    </row>
    <row r="170" spans="1:8" ht="36">
      <c r="A170" s="304" t="str">
        <f>HP_1!A123</f>
        <v>Heat pump with backup (not accounting for Exhaust adjustment)</v>
      </c>
      <c r="B170" s="316" t="str">
        <f>HP_1!B123</f>
        <v>Heat Pump Efficiency</v>
      </c>
      <c r="C170" s="311" t="str" cm="1">
        <f t="array" aca="1" ref="C170" ca="1">INDIRECT($F170&amp;C$90&amp;"!"&amp;$G170)</f>
        <v>Heat Pump Efficiency</v>
      </c>
      <c r="D170" s="311" t="str" cm="1">
        <f t="array" aca="1" ref="D170" ca="1">INDIRECT($F170&amp;D$90&amp;"!"&amp;$G170)</f>
        <v>Heat Pump Efficiency</v>
      </c>
      <c r="E170" s="310" t="str">
        <f t="shared" ca="1" si="6"/>
        <v>Heat Pump Efficiency</v>
      </c>
      <c r="F170" s="305" t="str">
        <f t="shared" ca="1" si="7"/>
        <v>HP_</v>
      </c>
      <c r="G170" s="305" t="str">
        <f t="shared" ca="1" si="8"/>
        <v>B123</v>
      </c>
      <c r="H170" s="305" t="str">
        <f t="shared" ca="1" si="9"/>
        <v>HP_1!B123</v>
      </c>
    </row>
    <row r="171" spans="1:8">
      <c r="A171" s="304" t="str">
        <f>HP_1!A124</f>
        <v>Space heating</v>
      </c>
      <c r="B171" s="316" t="e">
        <f>HP_1!B124</f>
        <v>#DIV/0!</v>
      </c>
      <c r="C171" s="311" t="e" cm="1">
        <f t="array" aca="1" ref="C171" ca="1">INDIRECT($F171&amp;C$90&amp;"!"&amp;$G171)</f>
        <v>#VALUE!</v>
      </c>
      <c r="D171" s="311" t="e" cm="1">
        <f t="array" aca="1" ref="D171" ca="1">INDIRECT($F171&amp;D$90&amp;"!"&amp;$G171)</f>
        <v>#VALUE!</v>
      </c>
      <c r="E171" s="310" t="e">
        <f t="shared" ca="1" si="6"/>
        <v>#VALUE!</v>
      </c>
      <c r="F171" s="305" t="str">
        <f t="shared" ca="1" si="7"/>
        <v>HP_</v>
      </c>
      <c r="G171" s="305" t="str">
        <f t="shared" ca="1" si="8"/>
        <v>B124</v>
      </c>
      <c r="H171" s="305" t="str">
        <f t="shared" ca="1" si="9"/>
        <v>HP_1!B124</v>
      </c>
    </row>
    <row r="172" spans="1:8">
      <c r="A172" s="304" t="str">
        <f>HP_1!A125</f>
        <v>Water heating</v>
      </c>
      <c r="B172" s="316" t="e">
        <f>HP_1!B125</f>
        <v>#DIV/0!</v>
      </c>
      <c r="C172" s="311" t="e" cm="1">
        <f t="array" aca="1" ref="C172" ca="1">INDIRECT($F172&amp;C$90&amp;"!"&amp;$G172)</f>
        <v>#DIV/0!</v>
      </c>
      <c r="D172" s="311" t="e" cm="1">
        <f t="array" aca="1" ref="D172" ca="1">INDIRECT($F172&amp;D$90&amp;"!"&amp;$G172)</f>
        <v>#DIV/0!</v>
      </c>
      <c r="E172" s="310" t="e">
        <f t="shared" ca="1" si="6"/>
        <v>#DIV/0!</v>
      </c>
      <c r="F172" s="305" t="str">
        <f t="shared" ca="1" si="7"/>
        <v>HP_</v>
      </c>
      <c r="G172" s="305" t="str">
        <f t="shared" ca="1" si="8"/>
        <v>B125</v>
      </c>
      <c r="H172" s="305" t="str">
        <f t="shared" ca="1" si="9"/>
        <v>HP_1!B125</v>
      </c>
    </row>
    <row r="173" spans="1:8" ht="36">
      <c r="A173" s="304" t="str">
        <f>HP_1!A126</f>
        <v>Additional renewable contribution when discounting backup</v>
      </c>
      <c r="B173" s="316" t="str">
        <f>HP_1!B126</f>
        <v>Adjustment due to backup</v>
      </c>
      <c r="C173" s="311" t="str" cm="1">
        <f t="array" aca="1" ref="C173" ca="1">INDIRECT($F173&amp;C$90&amp;"!"&amp;$G173)</f>
        <v>Adjustment due to backup</v>
      </c>
      <c r="D173" s="311" t="str" cm="1">
        <f t="array" aca="1" ref="D173" ca="1">INDIRECT($F173&amp;D$90&amp;"!"&amp;$G173)</f>
        <v>Adjustment due to backup</v>
      </c>
      <c r="E173" s="310" t="str">
        <f t="shared" ca="1" si="6"/>
        <v>Adjustment due to backup</v>
      </c>
      <c r="F173" s="305" t="str">
        <f t="shared" ca="1" si="7"/>
        <v>HP_</v>
      </c>
      <c r="G173" s="305" t="str">
        <f t="shared" ca="1" si="8"/>
        <v>B126</v>
      </c>
      <c r="H173" s="305" t="str">
        <f t="shared" ca="1" si="9"/>
        <v>HP_1!B126</v>
      </c>
    </row>
    <row r="174" spans="1:8">
      <c r="A174" s="304" t="str">
        <f>HP_1!A127</f>
        <v>Space heating</v>
      </c>
      <c r="B174" s="316" t="e">
        <f>HP_1!B127</f>
        <v>#DIV/0!</v>
      </c>
      <c r="C174" s="311" t="e" cm="1">
        <f t="array" aca="1" ref="C174" ca="1">INDIRECT($F174&amp;C$90&amp;"!"&amp;$G174)</f>
        <v>#VALUE!</v>
      </c>
      <c r="D174" s="311" t="e" cm="1">
        <f t="array" aca="1" ref="D174" ca="1">INDIRECT($F174&amp;D$90&amp;"!"&amp;$G174)</f>
        <v>#VALUE!</v>
      </c>
      <c r="E174" s="310" t="e">
        <f t="shared" ca="1" si="6"/>
        <v>#VALUE!</v>
      </c>
      <c r="F174" s="305" t="str">
        <f t="shared" ca="1" si="7"/>
        <v>HP_</v>
      </c>
      <c r="G174" s="305" t="str">
        <f t="shared" ca="1" si="8"/>
        <v>B127</v>
      </c>
      <c r="H174" s="305" t="str">
        <f t="shared" ca="1" si="9"/>
        <v>HP_1!B127</v>
      </c>
    </row>
    <row r="175" spans="1:8">
      <c r="A175" s="304" t="str">
        <f>HP_1!A128</f>
        <v>Water heating</v>
      </c>
      <c r="B175" s="316" t="e">
        <f>HP_1!B128</f>
        <v>#DIV/0!</v>
      </c>
      <c r="C175" s="311" t="e" cm="1">
        <f t="array" aca="1" ref="C175" ca="1">INDIRECT($F175&amp;C$90&amp;"!"&amp;$G175)</f>
        <v>#DIV/0!</v>
      </c>
      <c r="D175" s="311" t="e" cm="1">
        <f t="array" aca="1" ref="D175" ca="1">INDIRECT($F175&amp;D$90&amp;"!"&amp;$G175)</f>
        <v>#DIV/0!</v>
      </c>
      <c r="E175" s="310" t="e">
        <f t="shared" ca="1" si="6"/>
        <v>#DIV/0!</v>
      </c>
      <c r="F175" s="305" t="str">
        <f t="shared" ca="1" si="7"/>
        <v>HP_</v>
      </c>
      <c r="G175" s="305" t="str">
        <f t="shared" ca="1" si="8"/>
        <v>B128</v>
      </c>
      <c r="H175" s="305" t="str">
        <f t="shared" ca="1" si="9"/>
        <v>HP_1!B128</v>
      </c>
    </row>
    <row r="176" spans="1:8">
      <c r="A176" s="304" t="str">
        <f>HP_1!G111</f>
        <v>Exhaust Air Flow Rate (m3/hr)</v>
      </c>
      <c r="B176" s="316">
        <f>HP_1!G112</f>
        <v>0</v>
      </c>
      <c r="C176" s="311" cm="1">
        <f t="array" aca="1" ref="C176" ca="1">INDIRECT($F176&amp;C$90&amp;"!"&amp;$G176)</f>
        <v>0</v>
      </c>
      <c r="D176" s="311" cm="1">
        <f t="array" aca="1" ref="D176" ca="1">INDIRECT($F176&amp;D$90&amp;"!"&amp;$G176)</f>
        <v>0</v>
      </c>
      <c r="E176" s="310">
        <f t="shared" ca="1" si="6"/>
        <v>0</v>
      </c>
      <c r="F176" s="305" t="str">
        <f t="shared" ca="1" si="7"/>
        <v>HP_</v>
      </c>
      <c r="G176" s="305" t="str">
        <f t="shared" ca="1" si="8"/>
        <v>G112</v>
      </c>
      <c r="H176" s="305" t="str">
        <f t="shared" ca="1" si="9"/>
        <v>HP_1!G112</v>
      </c>
    </row>
    <row r="177" spans="1:8">
      <c r="A177" s="304" t="str">
        <f>HP_1!A187</f>
        <v>DEAP Entries Captured Data</v>
      </c>
      <c r="B177" s="316">
        <f>HP_1!B187</f>
        <v>0</v>
      </c>
      <c r="C177" s="311" cm="1">
        <f t="array" aca="1" ref="C177" ca="1">INDIRECT($F177&amp;C$90&amp;"!"&amp;$G177)</f>
        <v>0</v>
      </c>
      <c r="D177" s="311" cm="1">
        <f t="array" aca="1" ref="D177" ca="1">INDIRECT($F177&amp;D$90&amp;"!"&amp;$G177)</f>
        <v>0</v>
      </c>
      <c r="E177" s="310">
        <f t="shared" ca="1" si="6"/>
        <v>0</v>
      </c>
      <c r="F177" s="305" t="str">
        <f t="shared" ca="1" si="7"/>
        <v>HP_</v>
      </c>
      <c r="G177" s="305" t="str">
        <f t="shared" ca="1" si="8"/>
        <v>B187</v>
      </c>
      <c r="H177" s="305" t="str">
        <f t="shared" ca="1" si="9"/>
        <v>HP_1!B187</v>
      </c>
    </row>
    <row r="178" spans="1:8" ht="24">
      <c r="A178" s="304" t="str">
        <f>HP_1!A188</f>
        <v>Description:</v>
      </c>
      <c r="B178" s="316" t="str">
        <f>HP_1!B188</f>
        <v>Heat pump # 1</v>
      </c>
      <c r="C178" s="311" t="str" cm="1">
        <f t="array" aca="1" ref="C178" ca="1">INDIRECT($F178&amp;C$90&amp;"!"&amp;$G178)</f>
        <v>Heat pump # 1</v>
      </c>
      <c r="D178" s="311" t="str" cm="1">
        <f t="array" aca="1" ref="D178" ca="1">INDIRECT($F178&amp;D$90&amp;"!"&amp;$G178)</f>
        <v>Heat pump # 1</v>
      </c>
      <c r="E178" s="310" t="str">
        <f t="shared" ca="1" si="6"/>
        <v>Heat pump # 1</v>
      </c>
      <c r="F178" s="305" t="str">
        <f t="shared" ca="1" si="7"/>
        <v>HP_</v>
      </c>
      <c r="G178" s="305" t="str">
        <f t="shared" ca="1" si="8"/>
        <v>B188</v>
      </c>
      <c r="H178" s="305" t="str">
        <f t="shared" ca="1" si="9"/>
        <v>HP_1!B188</v>
      </c>
    </row>
    <row r="179" spans="1:8" ht="24">
      <c r="A179" s="304" t="str">
        <f>HP_1!A189</f>
        <v>Type of space heating heat pump</v>
      </c>
      <c r="B179" s="316" t="str">
        <f>HP_1!B189</f>
        <v>Heat Pump</v>
      </c>
      <c r="C179" s="311" t="str" cm="1">
        <f t="array" aca="1" ref="C179" ca="1">INDIRECT($F179&amp;C$90&amp;"!"&amp;$G179)</f>
        <v>Heat Pump</v>
      </c>
      <c r="D179" s="311" t="str" cm="1">
        <f t="array" aca="1" ref="D179" ca="1">INDIRECT($F179&amp;D$90&amp;"!"&amp;$G179)</f>
        <v>Heat Pump</v>
      </c>
      <c r="E179" s="310" t="str">
        <f t="shared" ca="1" si="6"/>
        <v>Heat Pump</v>
      </c>
      <c r="F179" s="305" t="str">
        <f t="shared" ca="1" si="7"/>
        <v>HP_</v>
      </c>
      <c r="G179" s="305" t="str">
        <f t="shared" ca="1" si="8"/>
        <v>B189</v>
      </c>
      <c r="H179" s="305" t="str">
        <f t="shared" ca="1" si="9"/>
        <v>HP_1!B189</v>
      </c>
    </row>
    <row r="180" spans="1:8" ht="24">
      <c r="A180" s="304" t="str">
        <f>HP_1!A190</f>
        <v>Type of water heating heat pump</v>
      </c>
      <c r="B180" s="316" t="str">
        <f>HP_1!B190</f>
        <v>Heat Pump</v>
      </c>
      <c r="C180" s="311" t="str" cm="1">
        <f t="array" aca="1" ref="C180" ca="1">INDIRECT($F180&amp;C$90&amp;"!"&amp;$G180)</f>
        <v>Heat Pump</v>
      </c>
      <c r="D180" s="311" t="str" cm="1">
        <f t="array" aca="1" ref="D180" ca="1">INDIRECT($F180&amp;D$90&amp;"!"&amp;$G180)</f>
        <v>Heat Pump</v>
      </c>
      <c r="E180" s="310" t="str">
        <f t="shared" ca="1" si="6"/>
        <v>Heat Pump</v>
      </c>
      <c r="F180" s="305" t="str">
        <f t="shared" ca="1" si="7"/>
        <v>HP_</v>
      </c>
      <c r="G180" s="305" t="str">
        <f t="shared" ca="1" si="8"/>
        <v>B190</v>
      </c>
      <c r="H180" s="305" t="str">
        <f t="shared" ca="1" si="9"/>
        <v>HP_1!B190</v>
      </c>
    </row>
    <row r="181" spans="1:8" ht="24">
      <c r="A181" s="304" t="str">
        <f>HP_1!A191</f>
        <v xml:space="preserve">% main space heat provided by each heat pump  based on system design </v>
      </c>
      <c r="B181" s="316">
        <f>HP_1!B191</f>
        <v>1</v>
      </c>
      <c r="C181" s="311" cm="1">
        <f t="array" aca="1" ref="C181" ca="1">INDIRECT($F181&amp;C$90&amp;"!"&amp;$G181)</f>
        <v>1</v>
      </c>
      <c r="D181" s="311" cm="1">
        <f t="array" aca="1" ref="D181" ca="1">INDIRECT($F181&amp;D$90&amp;"!"&amp;$G181)</f>
        <v>1</v>
      </c>
      <c r="E181" s="310">
        <f t="shared" ca="1" si="6"/>
        <v>1</v>
      </c>
      <c r="F181" s="305" t="str">
        <f t="shared" ca="1" si="7"/>
        <v>HP_</v>
      </c>
      <c r="G181" s="305" t="str">
        <f t="shared" ca="1" si="8"/>
        <v>B191</v>
      </c>
      <c r="H181" s="305" t="str">
        <f t="shared" ca="1" si="9"/>
        <v>HP_1!B191</v>
      </c>
    </row>
    <row r="182" spans="1:8" ht="24">
      <c r="A182" s="304" t="str">
        <f>HP_1!A192</f>
        <v xml:space="preserve">% main water heat provided by each heat pump  based on system design </v>
      </c>
      <c r="B182" s="316">
        <f>HP_1!B192</f>
        <v>1</v>
      </c>
      <c r="C182" s="311" cm="1">
        <f t="array" aca="1" ref="C182" ca="1">INDIRECT($F182&amp;C$90&amp;"!"&amp;$G182)</f>
        <v>1</v>
      </c>
      <c r="D182" s="311" cm="1">
        <f t="array" aca="1" ref="D182" ca="1">INDIRECT($F182&amp;D$90&amp;"!"&amp;$G182)</f>
        <v>1</v>
      </c>
      <c r="E182" s="310">
        <f t="shared" ca="1" si="6"/>
        <v>1</v>
      </c>
      <c r="F182" s="305" t="str">
        <f t="shared" ca="1" si="7"/>
        <v>HP_</v>
      </c>
      <c r="G182" s="305" t="str">
        <f t="shared" ca="1" si="8"/>
        <v>B192</v>
      </c>
      <c r="H182" s="305" t="str">
        <f t="shared" ca="1" si="9"/>
        <v>HP_1!B192</v>
      </c>
    </row>
    <row r="183" spans="1:8">
      <c r="A183" s="304" t="str">
        <f>HP_1!A193</f>
        <v>Is heat pump source preconditioned?</v>
      </c>
      <c r="B183" s="316" t="str">
        <f>HP_1!B193</f>
        <v>No</v>
      </c>
      <c r="C183" s="311" t="str" cm="1">
        <f t="array" aca="1" ref="C183" ca="1">INDIRECT($F183&amp;C$90&amp;"!"&amp;$G183)</f>
        <v>No</v>
      </c>
      <c r="D183" s="311" t="str" cm="1">
        <f t="array" aca="1" ref="D183" ca="1">INDIRECT($F183&amp;D$90&amp;"!"&amp;$G183)</f>
        <v>No</v>
      </c>
      <c r="E183" s="310" t="str">
        <f t="shared" ca="1" si="6"/>
        <v>No</v>
      </c>
      <c r="F183" s="305" t="str">
        <f t="shared" ca="1" si="7"/>
        <v>HP_</v>
      </c>
      <c r="G183" s="305" t="str">
        <f t="shared" ca="1" si="8"/>
        <v>B193</v>
      </c>
      <c r="H183" s="305" t="str">
        <f t="shared" ca="1" si="9"/>
        <v>HP_1!B193</v>
      </c>
    </row>
    <row r="184" spans="1:8" ht="24">
      <c r="A184" s="304" t="str">
        <f>HP_1!A194</f>
        <v>Is the Heat Pump part of a Group Heating Scheme</v>
      </c>
      <c r="B184" s="316" t="str">
        <f>HP_1!B194</f>
        <v>Yes</v>
      </c>
      <c r="C184" s="311" t="str" cm="1">
        <f t="array" aca="1" ref="C184" ca="1">INDIRECT($F184&amp;C$90&amp;"!"&amp;$G184)</f>
        <v>Yes</v>
      </c>
      <c r="D184" s="311" t="str" cm="1">
        <f t="array" aca="1" ref="D184" ca="1">INDIRECT($F184&amp;D$90&amp;"!"&amp;$G184)</f>
        <v>Yes</v>
      </c>
      <c r="E184" s="310" t="str">
        <f t="shared" ca="1" si="6"/>
        <v>Yes</v>
      </c>
      <c r="F184" s="305" t="str">
        <f t="shared" ca="1" si="7"/>
        <v>HP_</v>
      </c>
      <c r="G184" s="305" t="str">
        <f t="shared" ca="1" si="8"/>
        <v>B194</v>
      </c>
      <c r="H184" s="305" t="str">
        <f t="shared" ca="1" si="9"/>
        <v>HP_1!B194</v>
      </c>
    </row>
    <row r="185" spans="1:8" ht="24">
      <c r="A185" s="304" t="str">
        <f>HP_1!A195</f>
        <v>If "Exhaust Air Heat Pump(s)" what is the total exhaust Air Flow Rate</v>
      </c>
      <c r="B185" s="316">
        <f>HP_1!B195</f>
        <v>0</v>
      </c>
      <c r="C185" s="311" cm="1">
        <f t="array" aca="1" ref="C185" ca="1">INDIRECT($F185&amp;C$90&amp;"!"&amp;$G185)</f>
        <v>0</v>
      </c>
      <c r="D185" s="311" cm="1">
        <f t="array" aca="1" ref="D185" ca="1">INDIRECT($F185&amp;D$90&amp;"!"&amp;$G185)</f>
        <v>0</v>
      </c>
      <c r="E185" s="310">
        <f t="shared" ca="1" si="6"/>
        <v>0</v>
      </c>
      <c r="F185" s="305" t="str">
        <f t="shared" ca="1" si="7"/>
        <v>HP_</v>
      </c>
      <c r="G185" s="305" t="str">
        <f t="shared" ca="1" si="8"/>
        <v>B195</v>
      </c>
      <c r="H185" s="305" t="str">
        <f t="shared" ca="1" si="9"/>
        <v>HP_1!B195</v>
      </c>
    </row>
  </sheetData>
  <sheetProtection algorithmName="SHA-512" hashValue="k09ShN/hp8yrV+FaaE9JMKjMkqak5VWSAT84a3NJVfg43cLVovl6HIwy4ER08JUcbk1WtYAlQAvjq7cMWmrQpw==" saltValue="wtZh4QVFunPVsHRE8FKszQ==" spinCount="100000" sheet="1" objects="1" scenarios="1"/>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40C1-CDBE-45C1-AA08-FE98DCEB134E}">
  <dimension ref="A1:AC60"/>
  <sheetViews>
    <sheetView zoomScale="55" zoomScaleNormal="55" workbookViewId="0">
      <selection activeCell="N16" sqref="N16"/>
    </sheetView>
  </sheetViews>
  <sheetFormatPr defaultColWidth="8.85546875" defaultRowHeight="24" customHeight="1"/>
  <cols>
    <col min="1" max="1" width="12.42578125" style="198" customWidth="1"/>
    <col min="2" max="2" width="25.5703125" style="198" bestFit="1" customWidth="1"/>
    <col min="3" max="3" width="18.5703125" style="198" bestFit="1" customWidth="1"/>
    <col min="4" max="4" width="29.140625" style="198" bestFit="1" customWidth="1"/>
    <col min="5" max="5" width="48.5703125" style="198" customWidth="1"/>
    <col min="6" max="7" width="12.42578125" style="198" bestFit="1" customWidth="1"/>
    <col min="8" max="8" width="12.42578125" style="198" customWidth="1"/>
    <col min="9" max="9" width="14.140625" style="198" bestFit="1" customWidth="1"/>
    <col min="10" max="10" width="8.85546875" style="207"/>
    <col min="11" max="11" width="21.5703125" style="236" customWidth="1"/>
    <col min="12" max="16384" width="8.85546875" style="198"/>
  </cols>
  <sheetData>
    <row r="1" spans="1:14" ht="105.6" customHeight="1" thickBot="1">
      <c r="A1" s="727" t="s">
        <v>638</v>
      </c>
      <c r="B1" s="728"/>
      <c r="C1" s="728"/>
      <c r="D1" s="728"/>
      <c r="E1" s="197" t="str">
        <f>"Diagnostics cell: 
"&amp;E52&amp;"
"
&amp;E54&amp;"
"&amp;E53&amp;"
"&amp;E55&amp;"
"&amp;E56</f>
        <v>Diagnostics cell: 
Air to Water
Electricity
Not low temperature heat pump
Ecodesign applies and/or ecodesign data available
I.S. EN 14825</v>
      </c>
      <c r="F1" s="729" t="s">
        <v>639</v>
      </c>
      <c r="G1" s="730"/>
      <c r="H1" s="731"/>
      <c r="I1" s="732"/>
      <c r="K1" s="235" t="s">
        <v>640</v>
      </c>
      <c r="M1" s="323" t="s">
        <v>200</v>
      </c>
      <c r="N1" s="259">
        <v>1</v>
      </c>
    </row>
    <row r="2" spans="1:14" s="207" customFormat="1" ht="38.1" customHeight="1" thickBot="1">
      <c r="A2" s="200" t="s">
        <v>641</v>
      </c>
      <c r="B2" s="201" t="s">
        <v>281</v>
      </c>
      <c r="C2" s="202" t="s">
        <v>642</v>
      </c>
      <c r="D2" s="202" t="s">
        <v>643</v>
      </c>
      <c r="E2" s="203" t="s">
        <v>644</v>
      </c>
      <c r="F2" s="204" t="s">
        <v>201</v>
      </c>
      <c r="G2" s="205" t="s">
        <v>645</v>
      </c>
      <c r="H2" s="234" t="s">
        <v>228</v>
      </c>
      <c r="I2" s="206" t="s">
        <v>216</v>
      </c>
      <c r="K2" s="236"/>
    </row>
    <row r="3" spans="1:14" ht="24" customHeight="1">
      <c r="A3" s="209">
        <f>IF(AND($E$52=B3,$E$54=C3,$E$53=D3,$E$55=E3 ),1,"")</f>
        <v>1</v>
      </c>
      <c r="B3" s="210" t="s">
        <v>205</v>
      </c>
      <c r="C3" s="211" t="s">
        <v>218</v>
      </c>
      <c r="D3" s="211" t="s">
        <v>219</v>
      </c>
      <c r="E3" s="212" t="s">
        <v>221</v>
      </c>
      <c r="F3" s="213" t="s">
        <v>201</v>
      </c>
      <c r="G3" s="214"/>
      <c r="H3" s="231"/>
      <c r="I3" s="215"/>
      <c r="K3" s="237" t="str">
        <f>F3&amp;CHAR(10)&amp;G3&amp;CHAR(10)&amp;H3&amp;CHAR(10)&amp;I3</f>
        <v xml:space="preserve">I.S. EN 14825
</v>
      </c>
    </row>
    <row r="4" spans="1:14" ht="24" customHeight="1">
      <c r="A4" s="209" t="str">
        <f t="shared" ref="A4:A30" si="0">IF(AND($E$52=B4,$E$54=C4,$E$53=D4,$E$55=E4 ),1,"")</f>
        <v/>
      </c>
      <c r="B4" s="210" t="s">
        <v>205</v>
      </c>
      <c r="C4" s="211" t="s">
        <v>218</v>
      </c>
      <c r="D4" s="211" t="s">
        <v>204</v>
      </c>
      <c r="E4" s="212" t="s">
        <v>221</v>
      </c>
      <c r="F4" s="216" t="s">
        <v>201</v>
      </c>
      <c r="G4" s="217"/>
      <c r="H4" s="232"/>
      <c r="I4" s="218"/>
      <c r="K4" s="237" t="str">
        <f t="shared" ref="K4:K30" si="1">F4&amp;CHAR(10)&amp;G4&amp;CHAR(10)&amp;H4&amp;CHAR(10)&amp;I4</f>
        <v xml:space="preserve">I.S. EN 14825
</v>
      </c>
    </row>
    <row r="5" spans="1:14" ht="24" customHeight="1">
      <c r="A5" s="209" t="str">
        <f t="shared" si="0"/>
        <v/>
      </c>
      <c r="B5" s="210" t="s">
        <v>220</v>
      </c>
      <c r="C5" s="211" t="s">
        <v>218</v>
      </c>
      <c r="D5" s="211" t="s">
        <v>219</v>
      </c>
      <c r="E5" s="212" t="s">
        <v>221</v>
      </c>
      <c r="F5" s="216" t="s">
        <v>201</v>
      </c>
      <c r="G5" s="217"/>
      <c r="H5" s="232"/>
      <c r="I5" s="218"/>
      <c r="K5" s="237" t="str">
        <f t="shared" si="1"/>
        <v xml:space="preserve">I.S. EN 14825
</v>
      </c>
    </row>
    <row r="6" spans="1:14" ht="24" customHeight="1">
      <c r="A6" s="209" t="str">
        <f t="shared" si="0"/>
        <v/>
      </c>
      <c r="B6" s="210" t="s">
        <v>220</v>
      </c>
      <c r="C6" s="211" t="s">
        <v>218</v>
      </c>
      <c r="D6" s="211" t="s">
        <v>204</v>
      </c>
      <c r="E6" s="212" t="s">
        <v>221</v>
      </c>
      <c r="F6" s="216" t="s">
        <v>201</v>
      </c>
      <c r="G6" s="217"/>
      <c r="H6" s="232"/>
      <c r="I6" s="218"/>
      <c r="K6" s="237" t="str">
        <f t="shared" si="1"/>
        <v xml:space="preserve">I.S. EN 14825
</v>
      </c>
    </row>
    <row r="7" spans="1:14" ht="24" customHeight="1">
      <c r="A7" s="209" t="str">
        <f t="shared" si="0"/>
        <v/>
      </c>
      <c r="B7" s="210" t="s">
        <v>231</v>
      </c>
      <c r="C7" s="211" t="s">
        <v>218</v>
      </c>
      <c r="D7" s="211" t="s">
        <v>219</v>
      </c>
      <c r="E7" s="212" t="s">
        <v>221</v>
      </c>
      <c r="F7" s="216" t="s">
        <v>201</v>
      </c>
      <c r="G7" s="217"/>
      <c r="H7" s="232"/>
      <c r="I7" s="218"/>
      <c r="K7" s="237" t="str">
        <f t="shared" si="1"/>
        <v xml:space="preserve">I.S. EN 14825
</v>
      </c>
    </row>
    <row r="8" spans="1:14" ht="24" customHeight="1">
      <c r="A8" s="209" t="str">
        <f t="shared" si="0"/>
        <v/>
      </c>
      <c r="B8" s="210" t="s">
        <v>231</v>
      </c>
      <c r="C8" s="211" t="s">
        <v>218</v>
      </c>
      <c r="D8" s="211" t="s">
        <v>204</v>
      </c>
      <c r="E8" s="212" t="s">
        <v>221</v>
      </c>
      <c r="F8" s="216" t="s">
        <v>201</v>
      </c>
      <c r="G8" s="217"/>
      <c r="H8" s="232"/>
      <c r="I8" s="218"/>
      <c r="K8" s="237" t="str">
        <f t="shared" si="1"/>
        <v xml:space="preserve">I.S. EN 14825
</v>
      </c>
    </row>
    <row r="9" spans="1:14" ht="24" customHeight="1">
      <c r="A9" s="209" t="str">
        <f t="shared" si="0"/>
        <v/>
      </c>
      <c r="B9" s="210" t="s">
        <v>242</v>
      </c>
      <c r="C9" s="211" t="s">
        <v>218</v>
      </c>
      <c r="D9" s="211" t="s">
        <v>219</v>
      </c>
      <c r="E9" s="212" t="s">
        <v>221</v>
      </c>
      <c r="F9" s="216" t="s">
        <v>201</v>
      </c>
      <c r="G9" s="217"/>
      <c r="H9" s="232"/>
      <c r="I9" s="218"/>
      <c r="K9" s="237" t="str">
        <f t="shared" si="1"/>
        <v xml:space="preserve">I.S. EN 14825
</v>
      </c>
    </row>
    <row r="10" spans="1:14" ht="24" customHeight="1">
      <c r="A10" s="209" t="str">
        <f t="shared" si="0"/>
        <v/>
      </c>
      <c r="B10" s="210" t="s">
        <v>242</v>
      </c>
      <c r="C10" s="211" t="s">
        <v>218</v>
      </c>
      <c r="D10" s="211" t="s">
        <v>204</v>
      </c>
      <c r="E10" s="212" t="s">
        <v>221</v>
      </c>
      <c r="F10" s="216" t="s">
        <v>201</v>
      </c>
      <c r="G10" s="217"/>
      <c r="H10" s="232"/>
      <c r="I10" s="218"/>
      <c r="K10" s="237" t="str">
        <f t="shared" si="1"/>
        <v xml:space="preserve">I.S. EN 14825
</v>
      </c>
    </row>
    <row r="11" spans="1:14" ht="24" customHeight="1">
      <c r="A11" s="209" t="str">
        <f t="shared" si="0"/>
        <v/>
      </c>
      <c r="B11" s="210" t="s">
        <v>250</v>
      </c>
      <c r="C11" s="211" t="s">
        <v>218</v>
      </c>
      <c r="D11" s="211" t="s">
        <v>219</v>
      </c>
      <c r="E11" s="212" t="s">
        <v>221</v>
      </c>
      <c r="F11" s="216" t="s">
        <v>201</v>
      </c>
      <c r="G11" s="217"/>
      <c r="H11" s="232"/>
      <c r="I11" s="218"/>
      <c r="K11" s="237" t="str">
        <f t="shared" si="1"/>
        <v xml:space="preserve">I.S. EN 14825
</v>
      </c>
    </row>
    <row r="12" spans="1:14" ht="24" customHeight="1">
      <c r="A12" s="209" t="str">
        <f t="shared" si="0"/>
        <v/>
      </c>
      <c r="B12" s="210" t="s">
        <v>250</v>
      </c>
      <c r="C12" s="211" t="s">
        <v>218</v>
      </c>
      <c r="D12" s="211" t="s">
        <v>204</v>
      </c>
      <c r="E12" s="212" t="s">
        <v>221</v>
      </c>
      <c r="F12" s="216" t="s">
        <v>201</v>
      </c>
      <c r="G12" s="217"/>
      <c r="H12" s="232"/>
      <c r="I12" s="218"/>
      <c r="K12" s="237" t="str">
        <f t="shared" si="1"/>
        <v xml:space="preserve">I.S. EN 14825
</v>
      </c>
    </row>
    <row r="13" spans="1:14" ht="24" customHeight="1">
      <c r="A13" s="209" t="str">
        <f t="shared" si="0"/>
        <v/>
      </c>
      <c r="B13" s="210" t="s">
        <v>256</v>
      </c>
      <c r="C13" s="211" t="s">
        <v>218</v>
      </c>
      <c r="D13" s="211" t="s">
        <v>219</v>
      </c>
      <c r="E13" s="212" t="s">
        <v>221</v>
      </c>
      <c r="F13" s="216" t="s">
        <v>201</v>
      </c>
      <c r="G13" s="217"/>
      <c r="H13" s="232"/>
      <c r="I13" s="218"/>
      <c r="K13" s="237" t="str">
        <f t="shared" si="1"/>
        <v xml:space="preserve">I.S. EN 14825
</v>
      </c>
    </row>
    <row r="14" spans="1:14" ht="24" customHeight="1">
      <c r="A14" s="209" t="str">
        <f t="shared" si="0"/>
        <v/>
      </c>
      <c r="B14" s="210" t="s">
        <v>261</v>
      </c>
      <c r="C14" s="211" t="s">
        <v>218</v>
      </c>
      <c r="D14" s="211" t="s">
        <v>219</v>
      </c>
      <c r="E14" s="212" t="s">
        <v>221</v>
      </c>
      <c r="F14" s="216" t="s">
        <v>201</v>
      </c>
      <c r="G14" s="217"/>
      <c r="H14" s="232"/>
      <c r="I14" s="218"/>
      <c r="K14" s="237" t="str">
        <f t="shared" si="1"/>
        <v xml:space="preserve">I.S. EN 14825
</v>
      </c>
    </row>
    <row r="15" spans="1:14" ht="24" customHeight="1">
      <c r="A15" s="209" t="str">
        <f t="shared" si="0"/>
        <v/>
      </c>
      <c r="B15" s="210" t="s">
        <v>267</v>
      </c>
      <c r="C15" s="211" t="s">
        <v>218</v>
      </c>
      <c r="D15" s="211" t="s">
        <v>219</v>
      </c>
      <c r="E15" s="212" t="s">
        <v>221</v>
      </c>
      <c r="F15" s="216" t="s">
        <v>201</v>
      </c>
      <c r="G15" s="217"/>
      <c r="H15" s="232"/>
      <c r="I15" s="218"/>
      <c r="K15" s="237" t="str">
        <f t="shared" si="1"/>
        <v xml:space="preserve">I.S. EN 14825
</v>
      </c>
    </row>
    <row r="16" spans="1:14" ht="36.6" customHeight="1">
      <c r="A16" s="209" t="str">
        <f t="shared" si="0"/>
        <v/>
      </c>
      <c r="B16" s="210" t="s">
        <v>205</v>
      </c>
      <c r="C16" s="211" t="s">
        <v>230</v>
      </c>
      <c r="D16" s="211" t="s">
        <v>219</v>
      </c>
      <c r="E16" s="212" t="s">
        <v>221</v>
      </c>
      <c r="F16" s="216"/>
      <c r="G16" s="217"/>
      <c r="H16" s="232"/>
      <c r="I16" s="218" t="s">
        <v>216</v>
      </c>
      <c r="K16" s="237" t="str">
        <f t="shared" si="1"/>
        <v xml:space="preserve">
I.S. EN 12309-6</v>
      </c>
    </row>
    <row r="17" spans="1:12" ht="33">
      <c r="A17" s="209" t="str">
        <f t="shared" si="0"/>
        <v/>
      </c>
      <c r="B17" s="210" t="s">
        <v>205</v>
      </c>
      <c r="C17" s="211" t="s">
        <v>230</v>
      </c>
      <c r="D17" s="211" t="s">
        <v>204</v>
      </c>
      <c r="E17" s="212" t="s">
        <v>221</v>
      </c>
      <c r="F17" s="216"/>
      <c r="G17" s="217"/>
      <c r="H17" s="232"/>
      <c r="I17" s="218" t="s">
        <v>216</v>
      </c>
      <c r="K17" s="237" t="str">
        <f t="shared" si="1"/>
        <v xml:space="preserve">
I.S. EN 12309-6</v>
      </c>
    </row>
    <row r="18" spans="1:12" ht="33">
      <c r="A18" s="209" t="str">
        <f t="shared" si="0"/>
        <v/>
      </c>
      <c r="B18" s="210" t="s">
        <v>220</v>
      </c>
      <c r="C18" s="211" t="s">
        <v>230</v>
      </c>
      <c r="D18" s="211" t="s">
        <v>219</v>
      </c>
      <c r="E18" s="212" t="s">
        <v>221</v>
      </c>
      <c r="F18" s="216"/>
      <c r="G18" s="217"/>
      <c r="H18" s="232"/>
      <c r="I18" s="218" t="s">
        <v>216</v>
      </c>
      <c r="K18" s="237" t="str">
        <f t="shared" si="1"/>
        <v xml:space="preserve">
I.S. EN 12309-6</v>
      </c>
    </row>
    <row r="19" spans="1:12" ht="33">
      <c r="A19" s="209" t="str">
        <f t="shared" si="0"/>
        <v/>
      </c>
      <c r="B19" s="210" t="s">
        <v>220</v>
      </c>
      <c r="C19" s="211" t="s">
        <v>230</v>
      </c>
      <c r="D19" s="211" t="s">
        <v>204</v>
      </c>
      <c r="E19" s="212" t="s">
        <v>221</v>
      </c>
      <c r="F19" s="216"/>
      <c r="G19" s="217"/>
      <c r="H19" s="232"/>
      <c r="I19" s="218" t="s">
        <v>216</v>
      </c>
      <c r="K19" s="237" t="str">
        <f t="shared" si="1"/>
        <v xml:space="preserve">
I.S. EN 12309-6</v>
      </c>
    </row>
    <row r="20" spans="1:12" ht="33">
      <c r="A20" s="209" t="str">
        <f t="shared" si="0"/>
        <v/>
      </c>
      <c r="B20" s="210" t="s">
        <v>231</v>
      </c>
      <c r="C20" s="211" t="s">
        <v>230</v>
      </c>
      <c r="D20" s="211" t="s">
        <v>219</v>
      </c>
      <c r="E20" s="212" t="s">
        <v>221</v>
      </c>
      <c r="F20" s="216"/>
      <c r="G20" s="217"/>
      <c r="H20" s="232"/>
      <c r="I20" s="218" t="s">
        <v>216</v>
      </c>
      <c r="K20" s="237" t="str">
        <f t="shared" si="1"/>
        <v xml:space="preserve">
I.S. EN 12309-6</v>
      </c>
    </row>
    <row r="21" spans="1:12" ht="33.75" thickBot="1">
      <c r="A21" s="209" t="str">
        <f t="shared" si="0"/>
        <v/>
      </c>
      <c r="B21" s="210" t="s">
        <v>231</v>
      </c>
      <c r="C21" s="211" t="s">
        <v>230</v>
      </c>
      <c r="D21" s="211" t="s">
        <v>204</v>
      </c>
      <c r="E21" s="212" t="s">
        <v>221</v>
      </c>
      <c r="F21" s="219"/>
      <c r="G21" s="220"/>
      <c r="H21" s="233"/>
      <c r="I21" s="221" t="s">
        <v>216</v>
      </c>
      <c r="K21" s="237" t="str">
        <f t="shared" si="1"/>
        <v xml:space="preserve">
I.S. EN 12309-6</v>
      </c>
    </row>
    <row r="22" spans="1:12" ht="33">
      <c r="A22" s="209" t="str">
        <f t="shared" si="0"/>
        <v/>
      </c>
      <c r="B22" s="210" t="s">
        <v>205</v>
      </c>
      <c r="C22" s="211" t="s">
        <v>218</v>
      </c>
      <c r="D22" s="211" t="s">
        <v>219</v>
      </c>
      <c r="E22" s="212" t="s">
        <v>232</v>
      </c>
      <c r="F22" s="213"/>
      <c r="G22" s="214" t="s">
        <v>645</v>
      </c>
      <c r="H22" s="231"/>
      <c r="I22" s="215"/>
      <c r="K22" s="237" t="str">
        <f t="shared" si="1"/>
        <v xml:space="preserve">
I.S. EN 14511
</v>
      </c>
    </row>
    <row r="23" spans="1:12" ht="33">
      <c r="A23" s="209" t="str">
        <f t="shared" si="0"/>
        <v/>
      </c>
      <c r="B23" s="210" t="s">
        <v>220</v>
      </c>
      <c r="C23" s="211" t="s">
        <v>218</v>
      </c>
      <c r="D23" s="211" t="s">
        <v>219</v>
      </c>
      <c r="E23" s="212" t="s">
        <v>232</v>
      </c>
      <c r="F23" s="216"/>
      <c r="G23" s="217" t="s">
        <v>645</v>
      </c>
      <c r="H23" s="232"/>
      <c r="I23" s="218"/>
      <c r="K23" s="237" t="str">
        <f t="shared" si="1"/>
        <v xml:space="preserve">
I.S. EN 14511
</v>
      </c>
    </row>
    <row r="24" spans="1:12" ht="24" customHeight="1">
      <c r="A24" s="209" t="str">
        <f t="shared" si="0"/>
        <v/>
      </c>
      <c r="B24" s="210" t="s">
        <v>231</v>
      </c>
      <c r="C24" s="211" t="s">
        <v>218</v>
      </c>
      <c r="D24" s="211" t="s">
        <v>219</v>
      </c>
      <c r="E24" s="212" t="s">
        <v>232</v>
      </c>
      <c r="F24" s="216"/>
      <c r="G24" s="217" t="s">
        <v>645</v>
      </c>
      <c r="H24" s="232"/>
      <c r="I24" s="218"/>
      <c r="K24" s="237" t="str">
        <f t="shared" si="1"/>
        <v xml:space="preserve">
I.S. EN 14511
</v>
      </c>
    </row>
    <row r="25" spans="1:12" ht="24" customHeight="1">
      <c r="A25" s="209" t="str">
        <f t="shared" si="0"/>
        <v/>
      </c>
      <c r="B25" s="210" t="s">
        <v>242</v>
      </c>
      <c r="C25" s="211" t="s">
        <v>218</v>
      </c>
      <c r="D25" s="211" t="s">
        <v>219</v>
      </c>
      <c r="E25" s="212" t="s">
        <v>232</v>
      </c>
      <c r="F25" s="216"/>
      <c r="G25" s="217" t="s">
        <v>645</v>
      </c>
      <c r="H25" s="232"/>
      <c r="I25" s="218"/>
      <c r="K25" s="237" t="str">
        <f t="shared" si="1"/>
        <v xml:space="preserve">
I.S. EN 14511
</v>
      </c>
    </row>
    <row r="26" spans="1:12" ht="24" customHeight="1">
      <c r="A26" s="209" t="str">
        <f t="shared" si="0"/>
        <v/>
      </c>
      <c r="B26" s="210" t="s">
        <v>250</v>
      </c>
      <c r="C26" s="211" t="s">
        <v>218</v>
      </c>
      <c r="D26" s="211" t="s">
        <v>219</v>
      </c>
      <c r="E26" s="212" t="s">
        <v>232</v>
      </c>
      <c r="F26" s="216"/>
      <c r="G26" s="217" t="s">
        <v>645</v>
      </c>
      <c r="H26" s="232"/>
      <c r="I26" s="218"/>
      <c r="K26" s="237" t="str">
        <f t="shared" si="1"/>
        <v xml:space="preserve">
I.S. EN 14511
</v>
      </c>
    </row>
    <row r="27" spans="1:12" ht="33">
      <c r="A27" s="209" t="str">
        <f t="shared" si="0"/>
        <v/>
      </c>
      <c r="B27" s="210" t="s">
        <v>256</v>
      </c>
      <c r="C27" s="211" t="s">
        <v>218</v>
      </c>
      <c r="D27" s="211" t="s">
        <v>219</v>
      </c>
      <c r="E27" s="212" t="s">
        <v>232</v>
      </c>
      <c r="F27" s="216"/>
      <c r="G27" s="217" t="s">
        <v>645</v>
      </c>
      <c r="H27" s="232" t="s">
        <v>228</v>
      </c>
      <c r="I27" s="218"/>
      <c r="K27" s="237" t="str">
        <f t="shared" si="1"/>
        <v xml:space="preserve">
I.S. EN 14511
I.S. EN 13141
</v>
      </c>
    </row>
    <row r="28" spans="1:12" ht="33">
      <c r="A28" s="209" t="str">
        <f t="shared" si="0"/>
        <v/>
      </c>
      <c r="B28" s="210" t="s">
        <v>261</v>
      </c>
      <c r="C28" s="211" t="s">
        <v>218</v>
      </c>
      <c r="D28" s="211" t="s">
        <v>219</v>
      </c>
      <c r="E28" s="212" t="s">
        <v>232</v>
      </c>
      <c r="F28" s="216"/>
      <c r="G28" s="217" t="s">
        <v>645</v>
      </c>
      <c r="H28" s="232"/>
      <c r="I28" s="218"/>
      <c r="K28" s="237" t="str">
        <f t="shared" si="1"/>
        <v xml:space="preserve">
I.S. EN 14511
</v>
      </c>
    </row>
    <row r="29" spans="1:12" ht="33">
      <c r="A29" s="209" t="str">
        <f t="shared" si="0"/>
        <v/>
      </c>
      <c r="B29" s="210" t="s">
        <v>267</v>
      </c>
      <c r="C29" s="211" t="s">
        <v>218</v>
      </c>
      <c r="D29" s="211" t="s">
        <v>219</v>
      </c>
      <c r="E29" s="212" t="s">
        <v>232</v>
      </c>
      <c r="F29" s="216"/>
      <c r="G29" s="217" t="s">
        <v>645</v>
      </c>
      <c r="H29" s="232"/>
      <c r="I29" s="218"/>
      <c r="K29" s="237" t="str">
        <f t="shared" si="1"/>
        <v xml:space="preserve">
I.S. EN 14511
</v>
      </c>
    </row>
    <row r="30" spans="1:12" ht="41.45" customHeight="1" thickBot="1">
      <c r="A30" s="326" t="str">
        <f t="shared" si="0"/>
        <v/>
      </c>
      <c r="B30" s="327" t="s">
        <v>271</v>
      </c>
      <c r="C30" s="328" t="s">
        <v>218</v>
      </c>
      <c r="D30" s="328" t="s">
        <v>219</v>
      </c>
      <c r="E30" s="329" t="s">
        <v>232</v>
      </c>
      <c r="F30" s="219"/>
      <c r="G30" s="220"/>
      <c r="H30" s="233" t="s">
        <v>228</v>
      </c>
      <c r="I30" s="221"/>
      <c r="K30" s="237" t="str">
        <f t="shared" si="1"/>
        <v xml:space="preserve">
I.S. EN 13141
</v>
      </c>
    </row>
    <row r="31" spans="1:12" ht="63.6" customHeight="1">
      <c r="A31" s="334" t="str">
        <f>IF(A32&lt;&gt;"",A32,IF(A33&lt;&gt;"",A33,A34))</f>
        <v>Valid space heat pump type selected.</v>
      </c>
      <c r="B31" s="325" t="str">
        <f>VLOOKUP(1,$A$3:$P$30,2,FALSE)</f>
        <v>Air to Water</v>
      </c>
      <c r="C31" s="325" t="str">
        <f>VLOOKUP(1,$A$3:$P$30,3,FALSE)</f>
        <v>Electricity</v>
      </c>
      <c r="D31" s="325" t="str">
        <f>VLOOKUP(1,$A$3:$P$30,4,FALSE)</f>
        <v>Not low temperature heat pump</v>
      </c>
      <c r="E31" s="325" t="str">
        <f>VLOOKUP(1,$A$3:$P$30,5,FALSE)</f>
        <v>Ecodesign applies and/or ecodesign data available</v>
      </c>
      <c r="F31" s="733" t="s">
        <v>646</v>
      </c>
      <c r="G31" s="733"/>
      <c r="H31" s="733"/>
      <c r="I31" s="733"/>
      <c r="J31" s="734"/>
      <c r="K31" s="324" t="str">
        <f>VLOOKUP(1,$A$3:$P$30,11,FALSE)</f>
        <v xml:space="preserve">I.S. EN 14825
</v>
      </c>
      <c r="L31" s="644"/>
    </row>
    <row r="32" spans="1:12" ht="24" customHeight="1">
      <c r="A32" s="222" t="str">
        <f>IF(AND(E53="Low temperature heat pump",E59=TRUE,E60&lt;&gt;"I.S. EN 14825/14511"),"ERROR: Low temperature heat pump cannot provide hot water.","")</f>
        <v/>
      </c>
      <c r="B32" s="223"/>
      <c r="C32" s="223"/>
      <c r="D32" s="223"/>
      <c r="E32" s="223"/>
      <c r="F32" s="223"/>
      <c r="G32" s="223"/>
      <c r="H32" s="223"/>
    </row>
    <row r="33" spans="1:8" ht="24" customHeight="1">
      <c r="A33" s="222" t="str">
        <f>IF(SUM(A3:A30)&lt;&gt;1,"ERROR: Invalid space heat pump type selected. See allowable options in 'Space standards ID' tab","")</f>
        <v/>
      </c>
      <c r="B33" s="223"/>
      <c r="C33" s="223"/>
      <c r="D33" s="223"/>
      <c r="E33" s="223"/>
      <c r="F33" s="223"/>
      <c r="G33" s="223"/>
      <c r="H33" s="223"/>
    </row>
    <row r="34" spans="1:8" ht="24" customHeight="1">
      <c r="A34" s="645" t="s">
        <v>647</v>
      </c>
    </row>
    <row r="35" spans="1:8" ht="24" customHeight="1">
      <c r="A35" s="222"/>
    </row>
    <row r="36" spans="1:8" ht="24" customHeight="1">
      <c r="A36" s="222"/>
    </row>
    <row r="37" spans="1:8" ht="15"/>
    <row r="38" spans="1:8" ht="15"/>
    <row r="39" spans="1:8" ht="15"/>
    <row r="40" spans="1:8" ht="15"/>
    <row r="41" spans="1:8" ht="15"/>
    <row r="42" spans="1:8" ht="15"/>
    <row r="43" spans="1:8" ht="15"/>
    <row r="44" spans="1:8" ht="15"/>
    <row r="45" spans="1:8" ht="15"/>
    <row r="46" spans="1:8" ht="15"/>
    <row r="47" spans="1:8" ht="15"/>
    <row r="48" spans="1:8" ht="15"/>
    <row r="49" spans="1:29" ht="15.75" thickBot="1"/>
    <row r="50" spans="1:29" s="80" customFormat="1" ht="39" thickBot="1">
      <c r="A50" s="335" t="s">
        <v>429</v>
      </c>
      <c r="B50" s="336" t="s">
        <v>430</v>
      </c>
      <c r="C50" s="336" t="s">
        <v>431</v>
      </c>
      <c r="D50" s="336" t="s">
        <v>432</v>
      </c>
      <c r="E50" s="337"/>
      <c r="F50" s="337"/>
      <c r="G50" s="337"/>
      <c r="H50" s="337"/>
      <c r="I50" s="338"/>
      <c r="J50" s="82"/>
      <c r="L50" s="82"/>
      <c r="AC50" s="82"/>
    </row>
    <row r="51" spans="1:29" s="80" customFormat="1" ht="69.599999999999994" customHeight="1">
      <c r="A51" s="276" t="s">
        <v>584</v>
      </c>
      <c r="B51" s="276" t="str">
        <f>RIGHT(B50)</f>
        <v>1</v>
      </c>
      <c r="C51" s="276" t="str">
        <f>RIGHT(C50)</f>
        <v>2</v>
      </c>
      <c r="D51" s="276" t="str">
        <f>RIGHT(D50)</f>
        <v>3</v>
      </c>
      <c r="E51" s="276" t="s">
        <v>434</v>
      </c>
      <c r="F51" s="277" t="s">
        <v>177</v>
      </c>
      <c r="G51" s="277" t="s">
        <v>178</v>
      </c>
      <c r="H51" s="277" t="s">
        <v>435</v>
      </c>
      <c r="I51" s="82"/>
      <c r="J51" s="82"/>
      <c r="L51" s="82"/>
      <c r="AC51" s="82"/>
    </row>
    <row r="52" spans="1:29" s="80" customFormat="1" ht="31.5">
      <c r="A52" s="282" t="str">
        <f>HP_1!A12</f>
        <v>Type of heat pump</v>
      </c>
      <c r="B52" s="320" t="str">
        <f>HP_1!B12</f>
        <v>Air to Water</v>
      </c>
      <c r="C52" s="279" t="str" cm="1">
        <f t="array" aca="1" ref="C52" ca="1">INDIRECT($F52&amp;C$51&amp;"!"&amp;$G52)</f>
        <v>Air to Water</v>
      </c>
      <c r="D52" s="279" t="str" cm="1">
        <f t="array" aca="1" ref="D52" ca="1">INDIRECT($F52&amp;D$51&amp;"!"&amp;$G52)</f>
        <v>Air to Water</v>
      </c>
      <c r="E52" s="293" t="str">
        <f>VLOOKUP(A52,A52:D52,$N$1+1,FALSE)</f>
        <v>Air to Water</v>
      </c>
      <c r="F52" s="280" t="str">
        <f ca="1">LEFT(H52,FIND("1",H52)-1)</f>
        <v>HP_</v>
      </c>
      <c r="G52" s="280" t="str">
        <f ca="1">RIGHT(H52,LEN(H52)-FIND("!",H52))</f>
        <v>B12</v>
      </c>
      <c r="H52" s="281" t="str">
        <f ca="1">SUBSTITUTE( _xlfn.FORMULATEXT(B52),"=","")</f>
        <v>HP_1!B12</v>
      </c>
      <c r="L52" s="82"/>
      <c r="AC52" s="82"/>
    </row>
    <row r="53" spans="1:29" s="80" customFormat="1" ht="78.75">
      <c r="A53" s="282" t="str">
        <f>HP_1!D10</f>
        <v xml:space="preserve">Is this a Low Temperature Heat Pump? </v>
      </c>
      <c r="B53" s="322" t="str">
        <f>HP_1!G10</f>
        <v>Not low temperature heat pump</v>
      </c>
      <c r="C53" s="279" t="str" cm="1">
        <f t="array" aca="1" ref="C53" ca="1">INDIRECT($F53&amp;C$51&amp;"!"&amp;$G53)</f>
        <v>Not low temperature heat pump</v>
      </c>
      <c r="D53" s="279" t="str" cm="1">
        <f t="array" aca="1" ref="D53" ca="1">INDIRECT($F53&amp;D$51&amp;"!"&amp;$G53)</f>
        <v>Not low temperature heat pump</v>
      </c>
      <c r="E53" s="293" t="str">
        <f t="shared" ref="E53:E57" si="2">VLOOKUP(A53,A53:D53,$N$1+1,FALSE)</f>
        <v>Not low temperature heat pump</v>
      </c>
      <c r="F53" s="280" t="str">
        <f ca="1">LEFT(H53,FIND("1",H53)-1)</f>
        <v>HP_</v>
      </c>
      <c r="G53" s="280" t="str">
        <f ca="1">RIGHT(H53,LEN(H53)-FIND("!",H53))</f>
        <v>G10</v>
      </c>
      <c r="H53" s="281" t="str">
        <f ca="1">SUBSTITUTE( _xlfn.FORMULATEXT(B53),"=","")</f>
        <v>HP_1!G10</v>
      </c>
      <c r="L53" s="82"/>
      <c r="AC53" s="82"/>
    </row>
    <row r="54" spans="1:29" s="80" customFormat="1" ht="60.6" customHeight="1">
      <c r="A54" s="282" t="str">
        <f>HP_1!D11</f>
        <v xml:space="preserve">Is this heat pump electric or gas (GAHP)? </v>
      </c>
      <c r="B54" s="321" t="str">
        <f>HP_1!G11</f>
        <v>Electricity</v>
      </c>
      <c r="C54" s="279" t="str" cm="1">
        <f t="array" aca="1" ref="C54" ca="1">INDIRECT($F54&amp;C$51&amp;"!"&amp;$G54)</f>
        <v>Electricity</v>
      </c>
      <c r="D54" s="279" t="str" cm="1">
        <f t="array" aca="1" ref="D54" ca="1">INDIRECT($F54&amp;D$51&amp;"!"&amp;$G54)</f>
        <v>Electricity</v>
      </c>
      <c r="E54" s="293" t="str">
        <f t="shared" si="2"/>
        <v>Electricity</v>
      </c>
      <c r="F54" s="280" t="str">
        <f t="shared" ref="F54:F56" ca="1" si="3">LEFT(H54,FIND("1",H54)-1)</f>
        <v>HP_</v>
      </c>
      <c r="G54" s="280" t="str">
        <f t="shared" ref="G54:G56" ca="1" si="4">RIGHT(H54,LEN(H54)-FIND("!",H54))</f>
        <v>G11</v>
      </c>
      <c r="H54" s="281" t="str">
        <f t="shared" ref="H54:H56" ca="1" si="5">SUBSTITUTE( _xlfn.FORMULATEXT(B54),"=","")</f>
        <v>HP_1!G11</v>
      </c>
      <c r="L54" s="82"/>
      <c r="AC54" s="82"/>
    </row>
    <row r="55" spans="1:29" s="80" customFormat="1" ht="110.25">
      <c r="A55" s="282" t="str">
        <f>HP_1!D12</f>
        <v>What is the status of this heat pump regarding Ecodesign data?</v>
      </c>
      <c r="B55" s="322" t="str">
        <f>HP_1!G12</f>
        <v>Ecodesign applies and/or ecodesign data available</v>
      </c>
      <c r="C55" s="279" t="str" cm="1">
        <f t="array" aca="1" ref="C55" ca="1">INDIRECT($F55&amp;C$51&amp;"!"&amp;$G55)</f>
        <v>Ecodesign applies and/or ecodesign data available</v>
      </c>
      <c r="D55" s="279" t="str" cm="1">
        <f t="array" aca="1" ref="D55" ca="1">INDIRECT($F55&amp;D$51&amp;"!"&amp;$G55)</f>
        <v>Ecodesign applies and/or ecodesign data available</v>
      </c>
      <c r="E55" s="293" t="str">
        <f t="shared" si="2"/>
        <v>Ecodesign applies and/or ecodesign data available</v>
      </c>
      <c r="F55" s="280" t="str">
        <f t="shared" ca="1" si="3"/>
        <v>HP_</v>
      </c>
      <c r="G55" s="280" t="str">
        <f t="shared" ca="1" si="4"/>
        <v>G12</v>
      </c>
      <c r="H55" s="281" t="str">
        <f t="shared" ca="1" si="5"/>
        <v>HP_1!G12</v>
      </c>
      <c r="L55" s="82"/>
      <c r="AC55" s="82"/>
    </row>
    <row r="56" spans="1:29" s="80" customFormat="1" ht="63">
      <c r="A56" s="282" t="str">
        <f>HP_1!A14</f>
        <v>Space Heating Test Standard</v>
      </c>
      <c r="B56" s="320" t="str">
        <f>HP_1!B14</f>
        <v>I.S. EN 14825</v>
      </c>
      <c r="C56" s="279" t="str" cm="1">
        <f t="array" aca="1" ref="C56" ca="1">INDIRECT($F56&amp;C$51&amp;"!"&amp;$G56)</f>
        <v>I.S. EN 14825</v>
      </c>
      <c r="D56" s="279" t="str" cm="1">
        <f t="array" aca="1" ref="D56" ca="1">INDIRECT($F56&amp;D$51&amp;"!"&amp;$G56)</f>
        <v>I.S. EN 14825</v>
      </c>
      <c r="E56" s="293" t="str">
        <f t="shared" si="2"/>
        <v>I.S. EN 14825</v>
      </c>
      <c r="F56" s="280" t="str">
        <f t="shared" ca="1" si="3"/>
        <v>HP_</v>
      </c>
      <c r="G56" s="280" t="str">
        <f t="shared" ca="1" si="4"/>
        <v>B14</v>
      </c>
      <c r="H56" s="281" t="str">
        <f t="shared" ca="1" si="5"/>
        <v>HP_1!B14</v>
      </c>
      <c r="L56" s="82"/>
      <c r="AC56" s="82"/>
    </row>
    <row r="57" spans="1:29" ht="53.45" customHeight="1">
      <c r="A57" s="282" t="str">
        <f>HP_1!O10</f>
        <v>Space Heating served by HP</v>
      </c>
      <c r="B57" s="330" t="b">
        <f>HP_1!N10</f>
        <v>1</v>
      </c>
      <c r="C57" s="331" t="b" cm="1">
        <f t="array" aca="1" ref="C57" ca="1">INDIRECT($F57&amp;C$51&amp;"!"&amp;$G57)</f>
        <v>1</v>
      </c>
      <c r="D57" s="331" t="b" cm="1">
        <f t="array" aca="1" ref="D57" ca="1">INDIRECT($F57&amp;D$51&amp;"!"&amp;$G57)</f>
        <v>1</v>
      </c>
      <c r="E57" s="295" t="b">
        <f t="shared" si="2"/>
        <v>1</v>
      </c>
      <c r="F57" s="332" t="str">
        <f ca="1">LEFT(H57,FIND("1",H57)-1)</f>
        <v>HP_</v>
      </c>
      <c r="G57" s="332" t="str">
        <f ca="1">RIGHT(H57,LEN(H57)-FIND("!",H57))</f>
        <v>N10</v>
      </c>
      <c r="H57" s="333" t="str">
        <f ca="1">SUBSTITUTE( _xlfn.FORMULATEXT(B57),"=","")</f>
        <v>HP_1!N10</v>
      </c>
    </row>
    <row r="58" spans="1:29" ht="72" customHeight="1">
      <c r="A58" s="282" t="str">
        <f>HP_1!O11</f>
        <v>Hot Water served by HP</v>
      </c>
      <c r="B58" s="330" t="b">
        <f>HP_1!N11</f>
        <v>1</v>
      </c>
      <c r="C58" s="331" t="b" cm="1">
        <f t="array" aca="1" ref="C58" ca="1">INDIRECT($F58&amp;C$51&amp;"!"&amp;$G58)</f>
        <v>1</v>
      </c>
      <c r="D58" s="331" t="b" cm="1">
        <f t="array" aca="1" ref="D58" ca="1">INDIRECT($F58&amp;D$51&amp;"!"&amp;$G58)</f>
        <v>1</v>
      </c>
      <c r="E58" s="295" t="b">
        <f t="shared" ref="E58:E60" si="6">VLOOKUP(A58,A58:D58,$N$1+1,FALSE)</f>
        <v>1</v>
      </c>
      <c r="F58" s="332" t="str">
        <f t="shared" ref="F58:F60" ca="1" si="7">LEFT(H58,FIND("1",H58)-1)</f>
        <v>HP_</v>
      </c>
      <c r="G58" s="332" t="str">
        <f t="shared" ref="G58:G60" ca="1" si="8">RIGHT(H58,LEN(H58)-FIND("!",H58))</f>
        <v>N11</v>
      </c>
      <c r="H58" s="333" t="str">
        <f t="shared" ref="H58:H60" ca="1" si="9">SUBSTITUTE( _xlfn.FORMULATEXT(B58),"=","")</f>
        <v>HP_1!N11</v>
      </c>
    </row>
    <row r="59" spans="1:29" ht="65.45" customHeight="1">
      <c r="A59" s="282" t="str">
        <f>HP_1!O12</f>
        <v>Same HP for Space and Water Heating</v>
      </c>
      <c r="B59" s="330" t="b">
        <f>HP_1!N12</f>
        <v>1</v>
      </c>
      <c r="C59" s="331" t="b" cm="1">
        <f t="array" aca="1" ref="C59" ca="1">INDIRECT($F59&amp;C$51&amp;"!"&amp;$G59)</f>
        <v>1</v>
      </c>
      <c r="D59" s="331" t="b" cm="1">
        <f t="array" aca="1" ref="D59" ca="1">INDIRECT($F59&amp;D$51&amp;"!"&amp;$G59)</f>
        <v>1</v>
      </c>
      <c r="E59" s="295" t="b">
        <f t="shared" si="6"/>
        <v>1</v>
      </c>
      <c r="F59" s="332" t="str">
        <f t="shared" ca="1" si="7"/>
        <v>HP_</v>
      </c>
      <c r="G59" s="332" t="str">
        <f t="shared" ca="1" si="8"/>
        <v>N12</v>
      </c>
      <c r="H59" s="333" t="str">
        <f t="shared" ca="1" si="9"/>
        <v>HP_1!N12</v>
      </c>
    </row>
    <row r="60" spans="1:29" ht="24" customHeight="1">
      <c r="A60" s="282" t="str">
        <f>HP_1!A68</f>
        <v>Water Heating Test Standard</v>
      </c>
      <c r="B60" s="320" t="str">
        <f>HP_1!B68</f>
        <v>I.S. EN 16147</v>
      </c>
      <c r="C60" s="279" t="str" cm="1">
        <f t="array" aca="1" ref="C60" ca="1">INDIRECT($F60&amp;C$51&amp;"!"&amp;$G60)</f>
        <v>I.S. EN 16147</v>
      </c>
      <c r="D60" s="279" t="str" cm="1">
        <f t="array" aca="1" ref="D60" ca="1">INDIRECT($F60&amp;D$51&amp;"!"&amp;$G60)</f>
        <v>I.S. EN 16147</v>
      </c>
      <c r="E60" s="293" t="str">
        <f t="shared" si="6"/>
        <v>I.S. EN 16147</v>
      </c>
      <c r="F60" s="280" t="str">
        <f t="shared" ca="1" si="7"/>
        <v>HP_</v>
      </c>
      <c r="G60" s="280" t="str">
        <f t="shared" ca="1" si="8"/>
        <v>B68</v>
      </c>
      <c r="H60" s="281" t="str">
        <f t="shared" ca="1" si="9"/>
        <v>HP_1!B68</v>
      </c>
    </row>
  </sheetData>
  <sheetProtection algorithmName="SHA-512" hashValue="+3xU4HlGXGn7qAe0ckoAeLuZgJMUNCesQgbNUkVLA5ZNzz80LQ9DVMMt9488NndgJdhQkfk3TXJm5zHWhsrAXQ==" saltValue="F3M5o8fxn8EoAUhAwf4cgg==" spinCount="100000" sheet="1" objects="1" scenarios="1"/>
  <autoFilter ref="A2:K34" xr:uid="{3A978C5E-8AA7-4C8C-8395-C11E814AEE32}"/>
  <mergeCells count="3">
    <mergeCell ref="A1:D1"/>
    <mergeCell ref="F1:I1"/>
    <mergeCell ref="F31:J3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FE69EDF-3125-4A8B-B20F-B0F03B778787}">
          <x14:formula1>
            <xm:f>HP_1!$S$1:$S$9</xm:f>
          </x14:formula1>
          <xm:sqref>B3:B30</xm:sqref>
        </x14:dataValidation>
        <x14:dataValidation type="list" allowBlank="1" showInputMessage="1" showErrorMessage="1" xr:uid="{2C0B966C-B123-42BB-ABB9-072558924BF7}">
          <x14:formula1>
            <xm:f>HP_1!$Q$2:$Q$3</xm:f>
          </x14:formula1>
          <xm:sqref>C3:C30</xm:sqref>
        </x14:dataValidation>
        <x14:dataValidation type="list" allowBlank="1" showInputMessage="1" showErrorMessage="1" xr:uid="{419E2A5D-6123-4A3B-98F8-411B6F49EED6}">
          <x14:formula1>
            <xm:f>HP_1!$R$1:$R$2</xm:f>
          </x14:formula1>
          <xm:sqref>D3:D30</xm:sqref>
        </x14:dataValidation>
        <x14:dataValidation type="list" allowBlank="1" showInputMessage="1" showErrorMessage="1" xr:uid="{2707B045-580A-4407-A931-ABB5F8F04EB1}">
          <x14:formula1>
            <xm:f>HP_1!$T$2:$T$3</xm:f>
          </x14:formula1>
          <xm:sqref>E3:E30</xm:sqref>
        </x14:dataValidation>
        <x14:dataValidation type="list" allowBlank="1" showInputMessage="1" showErrorMessage="1" xr:uid="{F2E14130-2177-4F45-A1F5-51949D0E5A23}">
          <x14:formula1>
            <xm:f>HP_1!$N$1:$N$7</xm:f>
          </x14:formula1>
          <xm:sqref>F3:I30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911F-3360-41D1-BFDB-626AB53F9712}">
  <dimension ref="A1:AC60"/>
  <sheetViews>
    <sheetView zoomScale="55" zoomScaleNormal="55" workbookViewId="0">
      <selection activeCell="M17" sqref="M17"/>
    </sheetView>
  </sheetViews>
  <sheetFormatPr defaultColWidth="8.85546875" defaultRowHeight="24" customHeight="1"/>
  <cols>
    <col min="1" max="1" width="12.42578125" style="198" customWidth="1"/>
    <col min="2" max="2" width="25.5703125" style="198" bestFit="1" customWidth="1"/>
    <col min="3" max="3" width="18.5703125" style="198" bestFit="1" customWidth="1"/>
    <col min="4" max="4" width="29.140625" style="198" bestFit="1" customWidth="1"/>
    <col min="5" max="5" width="48.5703125" style="198" customWidth="1"/>
    <col min="6" max="7" width="12.42578125" style="198" bestFit="1" customWidth="1"/>
    <col min="8" max="8" width="12.42578125" style="198" customWidth="1"/>
    <col min="9" max="9" width="14.140625" style="198" bestFit="1" customWidth="1"/>
    <col min="10" max="10" width="8.85546875" style="207"/>
    <col min="11" max="11" width="21.5703125" style="236" customWidth="1"/>
    <col min="12" max="16384" width="8.85546875" style="198"/>
  </cols>
  <sheetData>
    <row r="1" spans="1:14" ht="105.6" customHeight="1" thickBot="1">
      <c r="A1" s="727" t="s">
        <v>638</v>
      </c>
      <c r="B1" s="728"/>
      <c r="C1" s="728"/>
      <c r="D1" s="728"/>
      <c r="E1" s="197" t="str">
        <f ca="1">"Diagnostics cell: 
"&amp;E52&amp;"
"
&amp;E54&amp;"
"&amp;E53&amp;"
"&amp;E55&amp;"
"&amp;E56</f>
        <v>Diagnostics cell: 
Air to Water
Electricity
Not low temperature heat pump
Ecodesign applies and/or ecodesign data available
I.S. EN 14825</v>
      </c>
      <c r="F1" s="729" t="s">
        <v>639</v>
      </c>
      <c r="G1" s="730"/>
      <c r="H1" s="731"/>
      <c r="I1" s="732"/>
      <c r="K1" s="235" t="s">
        <v>640</v>
      </c>
      <c r="M1" s="323" t="s">
        <v>200</v>
      </c>
      <c r="N1" s="259">
        <v>2</v>
      </c>
    </row>
    <row r="2" spans="1:14" s="207" customFormat="1" ht="38.1" customHeight="1" thickBot="1">
      <c r="A2" s="200" t="s">
        <v>641</v>
      </c>
      <c r="B2" s="201" t="s">
        <v>281</v>
      </c>
      <c r="C2" s="202" t="s">
        <v>642</v>
      </c>
      <c r="D2" s="202" t="s">
        <v>643</v>
      </c>
      <c r="E2" s="203" t="s">
        <v>644</v>
      </c>
      <c r="F2" s="204" t="s">
        <v>201</v>
      </c>
      <c r="G2" s="205" t="s">
        <v>645</v>
      </c>
      <c r="H2" s="234" t="s">
        <v>228</v>
      </c>
      <c r="I2" s="206" t="s">
        <v>216</v>
      </c>
      <c r="K2" s="236"/>
    </row>
    <row r="3" spans="1:14" ht="24" customHeight="1">
      <c r="A3" s="209">
        <f ca="1">IF(AND($E$52=B3,$E$54=C3,$E$53=D3,$E$55=E3 ),1,"")</f>
        <v>1</v>
      </c>
      <c r="B3" s="210" t="s">
        <v>205</v>
      </c>
      <c r="C3" s="211" t="s">
        <v>218</v>
      </c>
      <c r="D3" s="211" t="s">
        <v>219</v>
      </c>
      <c r="E3" s="212" t="s">
        <v>221</v>
      </c>
      <c r="F3" s="213" t="s">
        <v>201</v>
      </c>
      <c r="G3" s="214"/>
      <c r="H3" s="231"/>
      <c r="I3" s="215"/>
      <c r="K3" s="237" t="str">
        <f>F3&amp;CHAR(10)&amp;G3&amp;CHAR(10)&amp;H3&amp;CHAR(10)&amp;I3</f>
        <v xml:space="preserve">I.S. EN 14825
</v>
      </c>
    </row>
    <row r="4" spans="1:14" ht="24" customHeight="1">
      <c r="A4" s="209" t="str">
        <f t="shared" ref="A4:A30" ca="1" si="0">IF(AND($E$52=B4,$E$54=C4,$E$53=D4,$E$55=E4 ),1,"")</f>
        <v/>
      </c>
      <c r="B4" s="210" t="s">
        <v>205</v>
      </c>
      <c r="C4" s="211" t="s">
        <v>218</v>
      </c>
      <c r="D4" s="211" t="s">
        <v>204</v>
      </c>
      <c r="E4" s="212" t="s">
        <v>221</v>
      </c>
      <c r="F4" s="216" t="s">
        <v>201</v>
      </c>
      <c r="G4" s="217"/>
      <c r="H4" s="232"/>
      <c r="I4" s="218"/>
      <c r="K4" s="237" t="str">
        <f t="shared" ref="K4:K30" si="1">F4&amp;CHAR(10)&amp;G4&amp;CHAR(10)&amp;H4&amp;CHAR(10)&amp;I4</f>
        <v xml:space="preserve">I.S. EN 14825
</v>
      </c>
    </row>
    <row r="5" spans="1:14" ht="24" customHeight="1">
      <c r="A5" s="209" t="str">
        <f t="shared" ca="1" si="0"/>
        <v/>
      </c>
      <c r="B5" s="210" t="s">
        <v>220</v>
      </c>
      <c r="C5" s="211" t="s">
        <v>218</v>
      </c>
      <c r="D5" s="211" t="s">
        <v>219</v>
      </c>
      <c r="E5" s="212" t="s">
        <v>221</v>
      </c>
      <c r="F5" s="216" t="s">
        <v>201</v>
      </c>
      <c r="G5" s="217"/>
      <c r="H5" s="232"/>
      <c r="I5" s="218"/>
      <c r="K5" s="237" t="str">
        <f t="shared" si="1"/>
        <v xml:space="preserve">I.S. EN 14825
</v>
      </c>
    </row>
    <row r="6" spans="1:14" ht="24" customHeight="1">
      <c r="A6" s="209" t="str">
        <f t="shared" ca="1" si="0"/>
        <v/>
      </c>
      <c r="B6" s="210" t="s">
        <v>220</v>
      </c>
      <c r="C6" s="211" t="s">
        <v>218</v>
      </c>
      <c r="D6" s="211" t="s">
        <v>204</v>
      </c>
      <c r="E6" s="212" t="s">
        <v>221</v>
      </c>
      <c r="F6" s="216" t="s">
        <v>201</v>
      </c>
      <c r="G6" s="217"/>
      <c r="H6" s="232"/>
      <c r="I6" s="218"/>
      <c r="K6" s="237" t="str">
        <f t="shared" si="1"/>
        <v xml:space="preserve">I.S. EN 14825
</v>
      </c>
    </row>
    <row r="7" spans="1:14" ht="24" customHeight="1">
      <c r="A7" s="209" t="str">
        <f t="shared" ca="1" si="0"/>
        <v/>
      </c>
      <c r="B7" s="210" t="s">
        <v>231</v>
      </c>
      <c r="C7" s="211" t="s">
        <v>218</v>
      </c>
      <c r="D7" s="211" t="s">
        <v>219</v>
      </c>
      <c r="E7" s="212" t="s">
        <v>221</v>
      </c>
      <c r="F7" s="216" t="s">
        <v>201</v>
      </c>
      <c r="G7" s="217"/>
      <c r="H7" s="232"/>
      <c r="I7" s="218"/>
      <c r="K7" s="237" t="str">
        <f t="shared" si="1"/>
        <v xml:space="preserve">I.S. EN 14825
</v>
      </c>
    </row>
    <row r="8" spans="1:14" ht="24" customHeight="1">
      <c r="A8" s="209" t="str">
        <f t="shared" ca="1" si="0"/>
        <v/>
      </c>
      <c r="B8" s="210" t="s">
        <v>231</v>
      </c>
      <c r="C8" s="211" t="s">
        <v>218</v>
      </c>
      <c r="D8" s="211" t="s">
        <v>204</v>
      </c>
      <c r="E8" s="212" t="s">
        <v>221</v>
      </c>
      <c r="F8" s="216" t="s">
        <v>201</v>
      </c>
      <c r="G8" s="217"/>
      <c r="H8" s="232"/>
      <c r="I8" s="218"/>
      <c r="K8" s="237" t="str">
        <f t="shared" si="1"/>
        <v xml:space="preserve">I.S. EN 14825
</v>
      </c>
    </row>
    <row r="9" spans="1:14" ht="24" customHeight="1">
      <c r="A9" s="209" t="str">
        <f t="shared" ca="1" si="0"/>
        <v/>
      </c>
      <c r="B9" s="210" t="s">
        <v>242</v>
      </c>
      <c r="C9" s="211" t="s">
        <v>218</v>
      </c>
      <c r="D9" s="211" t="s">
        <v>219</v>
      </c>
      <c r="E9" s="212" t="s">
        <v>221</v>
      </c>
      <c r="F9" s="216" t="s">
        <v>201</v>
      </c>
      <c r="G9" s="217"/>
      <c r="H9" s="232"/>
      <c r="I9" s="218"/>
      <c r="K9" s="237" t="str">
        <f t="shared" si="1"/>
        <v xml:space="preserve">I.S. EN 14825
</v>
      </c>
    </row>
    <row r="10" spans="1:14" ht="24" customHeight="1">
      <c r="A10" s="209" t="str">
        <f t="shared" ca="1" si="0"/>
        <v/>
      </c>
      <c r="B10" s="210" t="s">
        <v>242</v>
      </c>
      <c r="C10" s="211" t="s">
        <v>218</v>
      </c>
      <c r="D10" s="211" t="s">
        <v>204</v>
      </c>
      <c r="E10" s="212" t="s">
        <v>221</v>
      </c>
      <c r="F10" s="216" t="s">
        <v>201</v>
      </c>
      <c r="G10" s="217"/>
      <c r="H10" s="232"/>
      <c r="I10" s="218"/>
      <c r="K10" s="237" t="str">
        <f t="shared" si="1"/>
        <v xml:space="preserve">I.S. EN 14825
</v>
      </c>
    </row>
    <row r="11" spans="1:14" ht="24" customHeight="1">
      <c r="A11" s="209" t="str">
        <f t="shared" ca="1" si="0"/>
        <v/>
      </c>
      <c r="B11" s="210" t="s">
        <v>250</v>
      </c>
      <c r="C11" s="211" t="s">
        <v>218</v>
      </c>
      <c r="D11" s="211" t="s">
        <v>219</v>
      </c>
      <c r="E11" s="212" t="s">
        <v>221</v>
      </c>
      <c r="F11" s="216" t="s">
        <v>201</v>
      </c>
      <c r="G11" s="217"/>
      <c r="H11" s="232"/>
      <c r="I11" s="218"/>
      <c r="K11" s="237" t="str">
        <f t="shared" si="1"/>
        <v xml:space="preserve">I.S. EN 14825
</v>
      </c>
    </row>
    <row r="12" spans="1:14" ht="24" customHeight="1">
      <c r="A12" s="209" t="str">
        <f t="shared" ca="1" si="0"/>
        <v/>
      </c>
      <c r="B12" s="210" t="s">
        <v>250</v>
      </c>
      <c r="C12" s="211" t="s">
        <v>218</v>
      </c>
      <c r="D12" s="211" t="s">
        <v>204</v>
      </c>
      <c r="E12" s="212" t="s">
        <v>221</v>
      </c>
      <c r="F12" s="216" t="s">
        <v>201</v>
      </c>
      <c r="G12" s="217"/>
      <c r="H12" s="232"/>
      <c r="I12" s="218"/>
      <c r="K12" s="237" t="str">
        <f t="shared" si="1"/>
        <v xml:space="preserve">I.S. EN 14825
</v>
      </c>
    </row>
    <row r="13" spans="1:14" ht="24" customHeight="1">
      <c r="A13" s="209" t="str">
        <f t="shared" ca="1" si="0"/>
        <v/>
      </c>
      <c r="B13" s="210" t="s">
        <v>256</v>
      </c>
      <c r="C13" s="211" t="s">
        <v>218</v>
      </c>
      <c r="D13" s="211" t="s">
        <v>219</v>
      </c>
      <c r="E13" s="212" t="s">
        <v>221</v>
      </c>
      <c r="F13" s="216" t="s">
        <v>201</v>
      </c>
      <c r="G13" s="217"/>
      <c r="H13" s="232"/>
      <c r="I13" s="218"/>
      <c r="K13" s="237" t="str">
        <f t="shared" si="1"/>
        <v xml:space="preserve">I.S. EN 14825
</v>
      </c>
    </row>
    <row r="14" spans="1:14" ht="24" customHeight="1">
      <c r="A14" s="209" t="str">
        <f t="shared" ca="1" si="0"/>
        <v/>
      </c>
      <c r="B14" s="210" t="s">
        <v>261</v>
      </c>
      <c r="C14" s="211" t="s">
        <v>218</v>
      </c>
      <c r="D14" s="211" t="s">
        <v>219</v>
      </c>
      <c r="E14" s="212" t="s">
        <v>221</v>
      </c>
      <c r="F14" s="216" t="s">
        <v>201</v>
      </c>
      <c r="G14" s="217"/>
      <c r="H14" s="232"/>
      <c r="I14" s="218"/>
      <c r="K14" s="237" t="str">
        <f t="shared" si="1"/>
        <v xml:space="preserve">I.S. EN 14825
</v>
      </c>
    </row>
    <row r="15" spans="1:14" ht="24" customHeight="1">
      <c r="A15" s="209" t="str">
        <f t="shared" ca="1" si="0"/>
        <v/>
      </c>
      <c r="B15" s="210" t="s">
        <v>267</v>
      </c>
      <c r="C15" s="211" t="s">
        <v>218</v>
      </c>
      <c r="D15" s="211" t="s">
        <v>219</v>
      </c>
      <c r="E15" s="212" t="s">
        <v>221</v>
      </c>
      <c r="F15" s="216" t="s">
        <v>201</v>
      </c>
      <c r="G15" s="217"/>
      <c r="H15" s="232"/>
      <c r="I15" s="218"/>
      <c r="K15" s="237" t="str">
        <f t="shared" si="1"/>
        <v xml:space="preserve">I.S. EN 14825
</v>
      </c>
    </row>
    <row r="16" spans="1:14" ht="36.6" customHeight="1">
      <c r="A16" s="209" t="str">
        <f t="shared" ca="1" si="0"/>
        <v/>
      </c>
      <c r="B16" s="210" t="s">
        <v>205</v>
      </c>
      <c r="C16" s="211" t="s">
        <v>230</v>
      </c>
      <c r="D16" s="211" t="s">
        <v>219</v>
      </c>
      <c r="E16" s="212" t="s">
        <v>221</v>
      </c>
      <c r="F16" s="216"/>
      <c r="G16" s="217"/>
      <c r="H16" s="232"/>
      <c r="I16" s="218" t="s">
        <v>216</v>
      </c>
      <c r="K16" s="237" t="str">
        <f t="shared" si="1"/>
        <v xml:space="preserve">
I.S. EN 12309-6</v>
      </c>
    </row>
    <row r="17" spans="1:12" ht="33">
      <c r="A17" s="209" t="str">
        <f t="shared" ca="1" si="0"/>
        <v/>
      </c>
      <c r="B17" s="210" t="s">
        <v>205</v>
      </c>
      <c r="C17" s="211" t="s">
        <v>230</v>
      </c>
      <c r="D17" s="211" t="s">
        <v>204</v>
      </c>
      <c r="E17" s="212" t="s">
        <v>221</v>
      </c>
      <c r="F17" s="216"/>
      <c r="G17" s="217"/>
      <c r="H17" s="232"/>
      <c r="I17" s="218" t="s">
        <v>216</v>
      </c>
      <c r="K17" s="237" t="str">
        <f t="shared" si="1"/>
        <v xml:space="preserve">
I.S. EN 12309-6</v>
      </c>
    </row>
    <row r="18" spans="1:12" ht="33">
      <c r="A18" s="209" t="str">
        <f t="shared" ca="1" si="0"/>
        <v/>
      </c>
      <c r="B18" s="210" t="s">
        <v>220</v>
      </c>
      <c r="C18" s="211" t="s">
        <v>230</v>
      </c>
      <c r="D18" s="211" t="s">
        <v>219</v>
      </c>
      <c r="E18" s="212" t="s">
        <v>221</v>
      </c>
      <c r="F18" s="216"/>
      <c r="G18" s="217"/>
      <c r="H18" s="232"/>
      <c r="I18" s="218" t="s">
        <v>216</v>
      </c>
      <c r="K18" s="237" t="str">
        <f t="shared" si="1"/>
        <v xml:space="preserve">
I.S. EN 12309-6</v>
      </c>
    </row>
    <row r="19" spans="1:12" ht="33">
      <c r="A19" s="209" t="str">
        <f t="shared" ca="1" si="0"/>
        <v/>
      </c>
      <c r="B19" s="210" t="s">
        <v>220</v>
      </c>
      <c r="C19" s="211" t="s">
        <v>230</v>
      </c>
      <c r="D19" s="211" t="s">
        <v>204</v>
      </c>
      <c r="E19" s="212" t="s">
        <v>221</v>
      </c>
      <c r="F19" s="216"/>
      <c r="G19" s="217"/>
      <c r="H19" s="232"/>
      <c r="I19" s="218" t="s">
        <v>216</v>
      </c>
      <c r="K19" s="237" t="str">
        <f t="shared" si="1"/>
        <v xml:space="preserve">
I.S. EN 12309-6</v>
      </c>
    </row>
    <row r="20" spans="1:12" ht="33">
      <c r="A20" s="209" t="str">
        <f t="shared" ca="1" si="0"/>
        <v/>
      </c>
      <c r="B20" s="210" t="s">
        <v>231</v>
      </c>
      <c r="C20" s="211" t="s">
        <v>230</v>
      </c>
      <c r="D20" s="211" t="s">
        <v>219</v>
      </c>
      <c r="E20" s="212" t="s">
        <v>221</v>
      </c>
      <c r="F20" s="216"/>
      <c r="G20" s="217"/>
      <c r="H20" s="232"/>
      <c r="I20" s="218" t="s">
        <v>216</v>
      </c>
      <c r="K20" s="237" t="str">
        <f t="shared" si="1"/>
        <v xml:space="preserve">
I.S. EN 12309-6</v>
      </c>
    </row>
    <row r="21" spans="1:12" ht="33.75" thickBot="1">
      <c r="A21" s="209" t="str">
        <f t="shared" ca="1" si="0"/>
        <v/>
      </c>
      <c r="B21" s="210" t="s">
        <v>231</v>
      </c>
      <c r="C21" s="211" t="s">
        <v>230</v>
      </c>
      <c r="D21" s="211" t="s">
        <v>204</v>
      </c>
      <c r="E21" s="212" t="s">
        <v>221</v>
      </c>
      <c r="F21" s="219"/>
      <c r="G21" s="220"/>
      <c r="H21" s="233"/>
      <c r="I21" s="221" t="s">
        <v>216</v>
      </c>
      <c r="K21" s="237" t="str">
        <f t="shared" si="1"/>
        <v xml:space="preserve">
I.S. EN 12309-6</v>
      </c>
    </row>
    <row r="22" spans="1:12" ht="33">
      <c r="A22" s="209" t="str">
        <f t="shared" ca="1" si="0"/>
        <v/>
      </c>
      <c r="B22" s="210" t="s">
        <v>205</v>
      </c>
      <c r="C22" s="211" t="s">
        <v>218</v>
      </c>
      <c r="D22" s="211" t="s">
        <v>219</v>
      </c>
      <c r="E22" s="212" t="s">
        <v>232</v>
      </c>
      <c r="F22" s="213"/>
      <c r="G22" s="214" t="s">
        <v>645</v>
      </c>
      <c r="H22" s="231"/>
      <c r="I22" s="215"/>
      <c r="K22" s="237" t="str">
        <f t="shared" si="1"/>
        <v xml:space="preserve">
I.S. EN 14511
</v>
      </c>
    </row>
    <row r="23" spans="1:12" ht="33">
      <c r="A23" s="209" t="str">
        <f t="shared" ca="1" si="0"/>
        <v/>
      </c>
      <c r="B23" s="210" t="s">
        <v>220</v>
      </c>
      <c r="C23" s="211" t="s">
        <v>218</v>
      </c>
      <c r="D23" s="211" t="s">
        <v>219</v>
      </c>
      <c r="E23" s="212" t="s">
        <v>232</v>
      </c>
      <c r="F23" s="216"/>
      <c r="G23" s="217" t="s">
        <v>645</v>
      </c>
      <c r="H23" s="232"/>
      <c r="I23" s="218"/>
      <c r="K23" s="237" t="str">
        <f t="shared" si="1"/>
        <v xml:space="preserve">
I.S. EN 14511
</v>
      </c>
    </row>
    <row r="24" spans="1:12" ht="24" customHeight="1">
      <c r="A24" s="209" t="str">
        <f t="shared" ca="1" si="0"/>
        <v/>
      </c>
      <c r="B24" s="210" t="s">
        <v>231</v>
      </c>
      <c r="C24" s="211" t="s">
        <v>218</v>
      </c>
      <c r="D24" s="211" t="s">
        <v>219</v>
      </c>
      <c r="E24" s="212" t="s">
        <v>232</v>
      </c>
      <c r="F24" s="216"/>
      <c r="G24" s="217" t="s">
        <v>645</v>
      </c>
      <c r="H24" s="232"/>
      <c r="I24" s="218"/>
      <c r="K24" s="237" t="str">
        <f t="shared" si="1"/>
        <v xml:space="preserve">
I.S. EN 14511
</v>
      </c>
    </row>
    <row r="25" spans="1:12" ht="24" customHeight="1">
      <c r="A25" s="209" t="str">
        <f t="shared" ca="1" si="0"/>
        <v/>
      </c>
      <c r="B25" s="210" t="s">
        <v>242</v>
      </c>
      <c r="C25" s="211" t="s">
        <v>218</v>
      </c>
      <c r="D25" s="211" t="s">
        <v>219</v>
      </c>
      <c r="E25" s="212" t="s">
        <v>232</v>
      </c>
      <c r="F25" s="216"/>
      <c r="G25" s="217" t="s">
        <v>645</v>
      </c>
      <c r="H25" s="232"/>
      <c r="I25" s="218"/>
      <c r="K25" s="237" t="str">
        <f t="shared" si="1"/>
        <v xml:space="preserve">
I.S. EN 14511
</v>
      </c>
    </row>
    <row r="26" spans="1:12" ht="24" customHeight="1">
      <c r="A26" s="209" t="str">
        <f t="shared" ca="1" si="0"/>
        <v/>
      </c>
      <c r="B26" s="210" t="s">
        <v>250</v>
      </c>
      <c r="C26" s="211" t="s">
        <v>218</v>
      </c>
      <c r="D26" s="211" t="s">
        <v>219</v>
      </c>
      <c r="E26" s="212" t="s">
        <v>232</v>
      </c>
      <c r="F26" s="216"/>
      <c r="G26" s="217" t="s">
        <v>645</v>
      </c>
      <c r="H26" s="232"/>
      <c r="I26" s="218"/>
      <c r="K26" s="237" t="str">
        <f t="shared" si="1"/>
        <v xml:space="preserve">
I.S. EN 14511
</v>
      </c>
    </row>
    <row r="27" spans="1:12" ht="33">
      <c r="A27" s="209" t="str">
        <f t="shared" ca="1" si="0"/>
        <v/>
      </c>
      <c r="B27" s="210" t="s">
        <v>256</v>
      </c>
      <c r="C27" s="211" t="s">
        <v>218</v>
      </c>
      <c r="D27" s="211" t="s">
        <v>219</v>
      </c>
      <c r="E27" s="212" t="s">
        <v>232</v>
      </c>
      <c r="F27" s="216"/>
      <c r="G27" s="217" t="s">
        <v>645</v>
      </c>
      <c r="H27" s="232" t="s">
        <v>228</v>
      </c>
      <c r="I27" s="218"/>
      <c r="K27" s="237" t="str">
        <f t="shared" si="1"/>
        <v xml:space="preserve">
I.S. EN 14511
I.S. EN 13141
</v>
      </c>
    </row>
    <row r="28" spans="1:12" ht="33">
      <c r="A28" s="209" t="str">
        <f t="shared" ca="1" si="0"/>
        <v/>
      </c>
      <c r="B28" s="210" t="s">
        <v>261</v>
      </c>
      <c r="C28" s="211" t="s">
        <v>218</v>
      </c>
      <c r="D28" s="211" t="s">
        <v>219</v>
      </c>
      <c r="E28" s="212" t="s">
        <v>232</v>
      </c>
      <c r="F28" s="216"/>
      <c r="G28" s="217" t="s">
        <v>645</v>
      </c>
      <c r="H28" s="232"/>
      <c r="I28" s="218"/>
      <c r="K28" s="237" t="str">
        <f t="shared" si="1"/>
        <v xml:space="preserve">
I.S. EN 14511
</v>
      </c>
    </row>
    <row r="29" spans="1:12" ht="33">
      <c r="A29" s="209" t="str">
        <f t="shared" ca="1" si="0"/>
        <v/>
      </c>
      <c r="B29" s="210" t="s">
        <v>267</v>
      </c>
      <c r="C29" s="211" t="s">
        <v>218</v>
      </c>
      <c r="D29" s="211" t="s">
        <v>219</v>
      </c>
      <c r="E29" s="212" t="s">
        <v>232</v>
      </c>
      <c r="F29" s="216"/>
      <c r="G29" s="217" t="s">
        <v>645</v>
      </c>
      <c r="H29" s="232"/>
      <c r="I29" s="218"/>
      <c r="K29" s="237" t="str">
        <f t="shared" si="1"/>
        <v xml:space="preserve">
I.S. EN 14511
</v>
      </c>
    </row>
    <row r="30" spans="1:12" ht="41.45" customHeight="1" thickBot="1">
      <c r="A30" s="326" t="str">
        <f t="shared" ca="1" si="0"/>
        <v/>
      </c>
      <c r="B30" s="327" t="s">
        <v>271</v>
      </c>
      <c r="C30" s="328" t="s">
        <v>218</v>
      </c>
      <c r="D30" s="328" t="s">
        <v>219</v>
      </c>
      <c r="E30" s="329" t="s">
        <v>232</v>
      </c>
      <c r="F30" s="219"/>
      <c r="G30" s="220"/>
      <c r="H30" s="233" t="s">
        <v>228</v>
      </c>
      <c r="I30" s="221"/>
      <c r="K30" s="237" t="str">
        <f t="shared" si="1"/>
        <v xml:space="preserve">
I.S. EN 13141
</v>
      </c>
    </row>
    <row r="31" spans="1:12" ht="63.6" customHeight="1">
      <c r="A31" s="334" t="str">
        <f ca="1">IF(A32&lt;&gt;"",A32,IF(A33&lt;&gt;"",A33,A34))</f>
        <v>Valid space heat pump type selected.</v>
      </c>
      <c r="B31" s="325" t="str">
        <f ca="1">VLOOKUP(1,$A$3:$P$30,2,FALSE)</f>
        <v>Air to Water</v>
      </c>
      <c r="C31" s="325" t="str">
        <f ca="1">VLOOKUP(1,$A$3:$P$30,3,FALSE)</f>
        <v>Electricity</v>
      </c>
      <c r="D31" s="325" t="str">
        <f ca="1">VLOOKUP(1,$A$3:$P$30,4,FALSE)</f>
        <v>Not low temperature heat pump</v>
      </c>
      <c r="E31" s="325" t="str">
        <f ca="1">VLOOKUP(1,$A$3:$P$30,5,FALSE)</f>
        <v>Ecodesign applies and/or ecodesign data available</v>
      </c>
      <c r="F31" s="733" t="s">
        <v>646</v>
      </c>
      <c r="G31" s="733"/>
      <c r="H31" s="733"/>
      <c r="I31" s="733"/>
      <c r="J31" s="734"/>
      <c r="K31" s="324" t="str">
        <f ca="1">VLOOKUP(1,$A$3:$P$30,11,FALSE)</f>
        <v xml:space="preserve">I.S. EN 14825
</v>
      </c>
      <c r="L31" s="644"/>
    </row>
    <row r="32" spans="1:12" ht="24" customHeight="1">
      <c r="A32" s="222" t="str">
        <f ca="1">IF(AND(E53="Low temperature heat pump",E59=TRUE,E60&lt;&gt;"I.S. EN 14825/14511"),"ERROR: Low temperature heat pump cannot provide hot water.","")</f>
        <v/>
      </c>
      <c r="B32" s="223"/>
      <c r="C32" s="223"/>
      <c r="D32" s="223"/>
      <c r="E32" s="223"/>
      <c r="F32" s="223"/>
      <c r="G32" s="223"/>
      <c r="H32" s="223"/>
    </row>
    <row r="33" spans="1:8" ht="24" customHeight="1">
      <c r="A33" s="222" t="str">
        <f ca="1">IF(SUM(A3:A30)&lt;&gt;1,"ERROR: Invalid space heat pump type selected. See allowable options in 'Space standards ID' tab","")</f>
        <v/>
      </c>
      <c r="B33" s="223"/>
      <c r="C33" s="223"/>
      <c r="D33" s="223"/>
      <c r="E33" s="223"/>
      <c r="F33" s="223"/>
      <c r="G33" s="223"/>
      <c r="H33" s="223"/>
    </row>
    <row r="34" spans="1:8" ht="24" customHeight="1">
      <c r="A34" s="645" t="s">
        <v>647</v>
      </c>
    </row>
    <row r="35" spans="1:8" ht="24" customHeight="1">
      <c r="A35" s="222"/>
    </row>
    <row r="36" spans="1:8" ht="24" customHeight="1">
      <c r="A36" s="222"/>
    </row>
    <row r="37" spans="1:8" ht="15"/>
    <row r="38" spans="1:8" ht="15"/>
    <row r="39" spans="1:8" ht="15"/>
    <row r="40" spans="1:8" ht="15"/>
    <row r="41" spans="1:8" ht="15"/>
    <row r="42" spans="1:8" ht="15"/>
    <row r="43" spans="1:8" ht="15"/>
    <row r="44" spans="1:8" ht="15"/>
    <row r="45" spans="1:8" ht="15"/>
    <row r="46" spans="1:8" ht="15"/>
    <row r="47" spans="1:8" ht="15"/>
    <row r="48" spans="1:8" ht="15"/>
    <row r="49" spans="1:29" ht="15.75" thickBot="1"/>
    <row r="50" spans="1:29" s="80" customFormat="1" ht="39" thickBot="1">
      <c r="A50" s="335" t="s">
        <v>429</v>
      </c>
      <c r="B50" s="336" t="s">
        <v>430</v>
      </c>
      <c r="C50" s="336" t="s">
        <v>431</v>
      </c>
      <c r="D50" s="336" t="s">
        <v>432</v>
      </c>
      <c r="E50" s="337"/>
      <c r="F50" s="337"/>
      <c r="G50" s="337"/>
      <c r="H50" s="337"/>
      <c r="I50" s="338"/>
      <c r="J50" s="82"/>
      <c r="L50" s="82"/>
      <c r="AC50" s="82"/>
    </row>
    <row r="51" spans="1:29" s="80" customFormat="1" ht="69.599999999999994" customHeight="1">
      <c r="A51" s="276" t="s">
        <v>584</v>
      </c>
      <c r="B51" s="276" t="str">
        <f>RIGHT(B50)</f>
        <v>1</v>
      </c>
      <c r="C51" s="276" t="str">
        <f>RIGHT(C50)</f>
        <v>2</v>
      </c>
      <c r="D51" s="276" t="str">
        <f>RIGHT(D50)</f>
        <v>3</v>
      </c>
      <c r="E51" s="276" t="s">
        <v>434</v>
      </c>
      <c r="F51" s="277" t="s">
        <v>177</v>
      </c>
      <c r="G51" s="277" t="s">
        <v>178</v>
      </c>
      <c r="H51" s="277" t="s">
        <v>435</v>
      </c>
      <c r="I51" s="82"/>
      <c r="J51" s="82"/>
      <c r="L51" s="82"/>
      <c r="AC51" s="82"/>
    </row>
    <row r="52" spans="1:29" s="80" customFormat="1" ht="31.5">
      <c r="A52" s="282" t="str">
        <f>HP_1!A12</f>
        <v>Type of heat pump</v>
      </c>
      <c r="B52" s="320" t="str">
        <f>HP_1!B12</f>
        <v>Air to Water</v>
      </c>
      <c r="C52" s="279" t="str" cm="1">
        <f t="array" aca="1" ref="C52" ca="1">INDIRECT($F52&amp;C$51&amp;"!"&amp;$G52)</f>
        <v>Air to Water</v>
      </c>
      <c r="D52" s="279" t="str" cm="1">
        <f t="array" aca="1" ref="D52" ca="1">INDIRECT($F52&amp;D$51&amp;"!"&amp;$G52)</f>
        <v>Air to Water</v>
      </c>
      <c r="E52" s="293" t="str">
        <f ca="1">VLOOKUP(A52,A52:D52,$N$1+1,FALSE)</f>
        <v>Air to Water</v>
      </c>
      <c r="F52" s="280" t="str">
        <f ca="1">LEFT(H52,FIND("1",H52)-1)</f>
        <v>HP_</v>
      </c>
      <c r="G52" s="280" t="str">
        <f ca="1">RIGHT(H52,LEN(H52)-FIND("!",H52))</f>
        <v>B12</v>
      </c>
      <c r="H52" s="281" t="str">
        <f ca="1">SUBSTITUTE( _xlfn.FORMULATEXT(B52),"=","")</f>
        <v>HP_1!B12</v>
      </c>
      <c r="L52" s="82"/>
      <c r="AC52" s="82"/>
    </row>
    <row r="53" spans="1:29" s="80" customFormat="1" ht="78.75">
      <c r="A53" s="282" t="str">
        <f>HP_1!D10</f>
        <v xml:space="preserve">Is this a Low Temperature Heat Pump? </v>
      </c>
      <c r="B53" s="322" t="str">
        <f>HP_1!G10</f>
        <v>Not low temperature heat pump</v>
      </c>
      <c r="C53" s="279" t="str" cm="1">
        <f t="array" aca="1" ref="C53" ca="1">INDIRECT($F53&amp;C$51&amp;"!"&amp;$G53)</f>
        <v>Not low temperature heat pump</v>
      </c>
      <c r="D53" s="279" t="str" cm="1">
        <f t="array" aca="1" ref="D53" ca="1">INDIRECT($F53&amp;D$51&amp;"!"&amp;$G53)</f>
        <v>Not low temperature heat pump</v>
      </c>
      <c r="E53" s="293" t="str">
        <f t="shared" ref="E53:E60" ca="1" si="2">VLOOKUP(A53,A53:D53,$N$1+1,FALSE)</f>
        <v>Not low temperature heat pump</v>
      </c>
      <c r="F53" s="280" t="str">
        <f ca="1">LEFT(H53,FIND("1",H53)-1)</f>
        <v>HP_</v>
      </c>
      <c r="G53" s="280" t="str">
        <f ca="1">RIGHT(H53,LEN(H53)-FIND("!",H53))</f>
        <v>G10</v>
      </c>
      <c r="H53" s="281" t="str">
        <f ca="1">SUBSTITUTE( _xlfn.FORMULATEXT(B53),"=","")</f>
        <v>HP_1!G10</v>
      </c>
      <c r="L53" s="82"/>
      <c r="AC53" s="82"/>
    </row>
    <row r="54" spans="1:29" s="80" customFormat="1" ht="60.6" customHeight="1">
      <c r="A54" s="282" t="str">
        <f>HP_1!D11</f>
        <v xml:space="preserve">Is this heat pump electric or gas (GAHP)? </v>
      </c>
      <c r="B54" s="321" t="str">
        <f>HP_1!G11</f>
        <v>Electricity</v>
      </c>
      <c r="C54" s="279" t="str" cm="1">
        <f t="array" aca="1" ref="C54" ca="1">INDIRECT($F54&amp;C$51&amp;"!"&amp;$G54)</f>
        <v>Electricity</v>
      </c>
      <c r="D54" s="279" t="str" cm="1">
        <f t="array" aca="1" ref="D54" ca="1">INDIRECT($F54&amp;D$51&amp;"!"&amp;$G54)</f>
        <v>Electricity</v>
      </c>
      <c r="E54" s="293" t="str">
        <f t="shared" ca="1" si="2"/>
        <v>Electricity</v>
      </c>
      <c r="F54" s="280" t="str">
        <f t="shared" ref="F54:F56" ca="1" si="3">LEFT(H54,FIND("1",H54)-1)</f>
        <v>HP_</v>
      </c>
      <c r="G54" s="280" t="str">
        <f t="shared" ref="G54:G56" ca="1" si="4">RIGHT(H54,LEN(H54)-FIND("!",H54))</f>
        <v>G11</v>
      </c>
      <c r="H54" s="281" t="str">
        <f t="shared" ref="H54:H56" ca="1" si="5">SUBSTITUTE( _xlfn.FORMULATEXT(B54),"=","")</f>
        <v>HP_1!G11</v>
      </c>
      <c r="L54" s="82"/>
      <c r="AC54" s="82"/>
    </row>
    <row r="55" spans="1:29" s="80" customFormat="1" ht="110.25">
      <c r="A55" s="282" t="str">
        <f>HP_1!D12</f>
        <v>What is the status of this heat pump regarding Ecodesign data?</v>
      </c>
      <c r="B55" s="322" t="str">
        <f>HP_1!G12</f>
        <v>Ecodesign applies and/or ecodesign data available</v>
      </c>
      <c r="C55" s="279" t="str" cm="1">
        <f t="array" aca="1" ref="C55" ca="1">INDIRECT($F55&amp;C$51&amp;"!"&amp;$G55)</f>
        <v>Ecodesign applies and/or ecodesign data available</v>
      </c>
      <c r="D55" s="279" t="str" cm="1">
        <f t="array" aca="1" ref="D55" ca="1">INDIRECT($F55&amp;D$51&amp;"!"&amp;$G55)</f>
        <v>Ecodesign applies and/or ecodesign data available</v>
      </c>
      <c r="E55" s="293" t="str">
        <f t="shared" ca="1" si="2"/>
        <v>Ecodesign applies and/or ecodesign data available</v>
      </c>
      <c r="F55" s="280" t="str">
        <f t="shared" ca="1" si="3"/>
        <v>HP_</v>
      </c>
      <c r="G55" s="280" t="str">
        <f t="shared" ca="1" si="4"/>
        <v>G12</v>
      </c>
      <c r="H55" s="281" t="str">
        <f t="shared" ca="1" si="5"/>
        <v>HP_1!G12</v>
      </c>
      <c r="L55" s="82"/>
      <c r="AC55" s="82"/>
    </row>
    <row r="56" spans="1:29" s="80" customFormat="1" ht="63">
      <c r="A56" s="282" t="str">
        <f>HP_1!A14</f>
        <v>Space Heating Test Standard</v>
      </c>
      <c r="B56" s="320" t="str">
        <f>HP_1!B14</f>
        <v>I.S. EN 14825</v>
      </c>
      <c r="C56" s="279" t="str" cm="1">
        <f t="array" aca="1" ref="C56" ca="1">INDIRECT($F56&amp;C$51&amp;"!"&amp;$G56)</f>
        <v>I.S. EN 14825</v>
      </c>
      <c r="D56" s="279" t="str" cm="1">
        <f t="array" aca="1" ref="D56" ca="1">INDIRECT($F56&amp;D$51&amp;"!"&amp;$G56)</f>
        <v>I.S. EN 14825</v>
      </c>
      <c r="E56" s="293" t="str">
        <f t="shared" ca="1" si="2"/>
        <v>I.S. EN 14825</v>
      </c>
      <c r="F56" s="280" t="str">
        <f t="shared" ca="1" si="3"/>
        <v>HP_</v>
      </c>
      <c r="G56" s="280" t="str">
        <f t="shared" ca="1" si="4"/>
        <v>B14</v>
      </c>
      <c r="H56" s="281" t="str">
        <f t="shared" ca="1" si="5"/>
        <v>HP_1!B14</v>
      </c>
      <c r="L56" s="82"/>
      <c r="AC56" s="82"/>
    </row>
    <row r="57" spans="1:29" ht="53.45" customHeight="1">
      <c r="A57" s="282" t="str">
        <f>HP_1!O10</f>
        <v>Space Heating served by HP</v>
      </c>
      <c r="B57" s="330" t="b">
        <f>HP_1!N10</f>
        <v>1</v>
      </c>
      <c r="C57" s="331" t="b" cm="1">
        <f t="array" aca="1" ref="C57" ca="1">INDIRECT($F57&amp;C$51&amp;"!"&amp;$G57)</f>
        <v>1</v>
      </c>
      <c r="D57" s="331" t="b" cm="1">
        <f t="array" aca="1" ref="D57" ca="1">INDIRECT($F57&amp;D$51&amp;"!"&amp;$G57)</f>
        <v>1</v>
      </c>
      <c r="E57" s="295" t="b">
        <f t="shared" ca="1" si="2"/>
        <v>1</v>
      </c>
      <c r="F57" s="332" t="str">
        <f ca="1">LEFT(H57,FIND("1",H57)-1)</f>
        <v>HP_</v>
      </c>
      <c r="G57" s="332" t="str">
        <f ca="1">RIGHT(H57,LEN(H57)-FIND("!",H57))</f>
        <v>N10</v>
      </c>
      <c r="H57" s="333" t="str">
        <f ca="1">SUBSTITUTE( _xlfn.FORMULATEXT(B57),"=","")</f>
        <v>HP_1!N10</v>
      </c>
    </row>
    <row r="58" spans="1:29" ht="72" customHeight="1">
      <c r="A58" s="282" t="str">
        <f>HP_1!O11</f>
        <v>Hot Water served by HP</v>
      </c>
      <c r="B58" s="330" t="b">
        <f>HP_1!N11</f>
        <v>1</v>
      </c>
      <c r="C58" s="331" t="b" cm="1">
        <f t="array" aca="1" ref="C58" ca="1">INDIRECT($F58&amp;C$51&amp;"!"&amp;$G58)</f>
        <v>1</v>
      </c>
      <c r="D58" s="331" t="b" cm="1">
        <f t="array" aca="1" ref="D58" ca="1">INDIRECT($F58&amp;D$51&amp;"!"&amp;$G58)</f>
        <v>1</v>
      </c>
      <c r="E58" s="295" t="b">
        <f t="shared" ca="1" si="2"/>
        <v>1</v>
      </c>
      <c r="F58" s="332" t="str">
        <f t="shared" ref="F58:F60" ca="1" si="6">LEFT(H58,FIND("1",H58)-1)</f>
        <v>HP_</v>
      </c>
      <c r="G58" s="332" t="str">
        <f t="shared" ref="G58:G60" ca="1" si="7">RIGHT(H58,LEN(H58)-FIND("!",H58))</f>
        <v>N11</v>
      </c>
      <c r="H58" s="333" t="str">
        <f t="shared" ref="H58:H60" ca="1" si="8">SUBSTITUTE( _xlfn.FORMULATEXT(B58),"=","")</f>
        <v>HP_1!N11</v>
      </c>
    </row>
    <row r="59" spans="1:29" ht="65.45" customHeight="1">
      <c r="A59" s="282" t="str">
        <f>HP_1!O12</f>
        <v>Same HP for Space and Water Heating</v>
      </c>
      <c r="B59" s="330" t="b">
        <f>HP_1!N12</f>
        <v>1</v>
      </c>
      <c r="C59" s="331" t="b" cm="1">
        <f t="array" aca="1" ref="C59" ca="1">INDIRECT($F59&amp;C$51&amp;"!"&amp;$G59)</f>
        <v>1</v>
      </c>
      <c r="D59" s="331" t="b" cm="1">
        <f t="array" aca="1" ref="D59" ca="1">INDIRECT($F59&amp;D$51&amp;"!"&amp;$G59)</f>
        <v>1</v>
      </c>
      <c r="E59" s="295" t="b">
        <f t="shared" ca="1" si="2"/>
        <v>1</v>
      </c>
      <c r="F59" s="332" t="str">
        <f t="shared" ca="1" si="6"/>
        <v>HP_</v>
      </c>
      <c r="G59" s="332" t="str">
        <f t="shared" ca="1" si="7"/>
        <v>N12</v>
      </c>
      <c r="H59" s="333" t="str">
        <f t="shared" ca="1" si="8"/>
        <v>HP_1!N12</v>
      </c>
    </row>
    <row r="60" spans="1:29" ht="24" customHeight="1">
      <c r="A60" s="282" t="str">
        <f>HP_1!A68</f>
        <v>Water Heating Test Standard</v>
      </c>
      <c r="B60" s="320" t="str">
        <f>HP_1!B68</f>
        <v>I.S. EN 16147</v>
      </c>
      <c r="C60" s="279" t="str" cm="1">
        <f t="array" aca="1" ref="C60" ca="1">INDIRECT($F60&amp;C$51&amp;"!"&amp;$G60)</f>
        <v>I.S. EN 16147</v>
      </c>
      <c r="D60" s="279" t="str" cm="1">
        <f t="array" aca="1" ref="D60" ca="1">INDIRECT($F60&amp;D$51&amp;"!"&amp;$G60)</f>
        <v>I.S. EN 16147</v>
      </c>
      <c r="E60" s="293" t="str">
        <f t="shared" ca="1" si="2"/>
        <v>I.S. EN 16147</v>
      </c>
      <c r="F60" s="280" t="str">
        <f t="shared" ca="1" si="6"/>
        <v>HP_</v>
      </c>
      <c r="G60" s="280" t="str">
        <f t="shared" ca="1" si="7"/>
        <v>B68</v>
      </c>
      <c r="H60" s="281" t="str">
        <f t="shared" ca="1" si="8"/>
        <v>HP_1!B68</v>
      </c>
    </row>
  </sheetData>
  <sheetProtection algorithmName="SHA-512" hashValue="JUKjZ6f4ddwfH4pMNIY0B5HLpE/JOayAu+0+rmXwODJodFUU60K33/JtN5QS1XZaIukyNmxrThBCkn9hTd86jA==" saltValue="+MRj+ytPugHNUb6NkKfWvw==" spinCount="100000" sheet="1" objects="1" scenarios="1"/>
  <autoFilter ref="A2:K34" xr:uid="{3A978C5E-8AA7-4C8C-8395-C11E814AEE32}"/>
  <mergeCells count="3">
    <mergeCell ref="A1:D1"/>
    <mergeCell ref="F1:I1"/>
    <mergeCell ref="F31:J3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BD8840E-3A68-40FA-B8F5-973491EF7197}">
          <x14:formula1>
            <xm:f>HP_1!$N$1:$N$7</xm:f>
          </x14:formula1>
          <xm:sqref>F3:I30</xm:sqref>
        </x14:dataValidation>
        <x14:dataValidation type="list" allowBlank="1" showInputMessage="1" showErrorMessage="1" xr:uid="{CD881FA2-CD51-4EFC-AFDC-2F904228BD45}">
          <x14:formula1>
            <xm:f>HP_1!$T$2:$T$3</xm:f>
          </x14:formula1>
          <xm:sqref>E3:E30</xm:sqref>
        </x14:dataValidation>
        <x14:dataValidation type="list" allowBlank="1" showInputMessage="1" showErrorMessage="1" xr:uid="{A9573F36-ADDA-41D6-8F44-BAC35B99D5B0}">
          <x14:formula1>
            <xm:f>HP_1!$R$1:$R$2</xm:f>
          </x14:formula1>
          <xm:sqref>D3:D30</xm:sqref>
        </x14:dataValidation>
        <x14:dataValidation type="list" allowBlank="1" showInputMessage="1" showErrorMessage="1" xr:uid="{ED668CB9-951E-49BE-BCA2-1C2CA7B637C6}">
          <x14:formula1>
            <xm:f>HP_1!$Q$2:$Q$3</xm:f>
          </x14:formula1>
          <xm:sqref>C3:C30</xm:sqref>
        </x14:dataValidation>
        <x14:dataValidation type="list" allowBlank="1" showInputMessage="1" showErrorMessage="1" xr:uid="{9F9D23FF-F3F8-4E17-8CDC-17B39F9B7319}">
          <x14:formula1>
            <xm:f>HP_1!$S$1:$S$9</xm:f>
          </x14:formula1>
          <xm:sqref>B3:B30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18D8-A8F2-4EAC-909A-8191A2C60C08}">
  <dimension ref="A1:AC60"/>
  <sheetViews>
    <sheetView zoomScale="55" zoomScaleNormal="55" workbookViewId="0">
      <selection activeCell="M17" sqref="M17"/>
    </sheetView>
  </sheetViews>
  <sheetFormatPr defaultColWidth="8.85546875" defaultRowHeight="24" customHeight="1"/>
  <cols>
    <col min="1" max="1" width="12.42578125" style="198" customWidth="1"/>
    <col min="2" max="2" width="25.5703125" style="198" bestFit="1" customWidth="1"/>
    <col min="3" max="3" width="18.5703125" style="198" bestFit="1" customWidth="1"/>
    <col min="4" max="4" width="29.140625" style="198" bestFit="1" customWidth="1"/>
    <col min="5" max="5" width="48.5703125" style="198" customWidth="1"/>
    <col min="6" max="7" width="12.42578125" style="198" bestFit="1" customWidth="1"/>
    <col min="8" max="8" width="12.42578125" style="198" customWidth="1"/>
    <col min="9" max="9" width="14.140625" style="198" bestFit="1" customWidth="1"/>
    <col min="10" max="10" width="8.85546875" style="207"/>
    <col min="11" max="11" width="21.5703125" style="236" customWidth="1"/>
    <col min="12" max="16384" width="8.85546875" style="198"/>
  </cols>
  <sheetData>
    <row r="1" spans="1:14" ht="105.6" customHeight="1" thickBot="1">
      <c r="A1" s="727" t="s">
        <v>638</v>
      </c>
      <c r="B1" s="728"/>
      <c r="C1" s="728"/>
      <c r="D1" s="728"/>
      <c r="E1" s="197" t="str">
        <f ca="1">"Diagnostics cell: 
"&amp;E52&amp;"
"
&amp;E54&amp;"
"&amp;E53&amp;"
"&amp;E55&amp;"
"&amp;E56</f>
        <v>Diagnostics cell: 
Air to Water
Electricity
Not low temperature heat pump
Ecodesign applies and/or ecodesign data available
I.S. EN 14825</v>
      </c>
      <c r="F1" s="729" t="s">
        <v>639</v>
      </c>
      <c r="G1" s="730"/>
      <c r="H1" s="731"/>
      <c r="I1" s="732"/>
      <c r="K1" s="235" t="s">
        <v>640</v>
      </c>
      <c r="M1" s="323" t="s">
        <v>200</v>
      </c>
      <c r="N1" s="259">
        <v>3</v>
      </c>
    </row>
    <row r="2" spans="1:14" s="207" customFormat="1" ht="38.1" customHeight="1" thickBot="1">
      <c r="A2" s="200" t="s">
        <v>641</v>
      </c>
      <c r="B2" s="201" t="s">
        <v>281</v>
      </c>
      <c r="C2" s="202" t="s">
        <v>642</v>
      </c>
      <c r="D2" s="202" t="s">
        <v>643</v>
      </c>
      <c r="E2" s="203" t="s">
        <v>644</v>
      </c>
      <c r="F2" s="204" t="s">
        <v>201</v>
      </c>
      <c r="G2" s="205" t="s">
        <v>645</v>
      </c>
      <c r="H2" s="234" t="s">
        <v>228</v>
      </c>
      <c r="I2" s="206" t="s">
        <v>216</v>
      </c>
      <c r="K2" s="236"/>
    </row>
    <row r="3" spans="1:14" ht="24" customHeight="1">
      <c r="A3" s="209">
        <f ca="1">IF(AND($E$52=B3,$E$54=C3,$E$53=D3,$E$55=E3 ),1,"")</f>
        <v>1</v>
      </c>
      <c r="B3" s="210" t="s">
        <v>205</v>
      </c>
      <c r="C3" s="211" t="s">
        <v>218</v>
      </c>
      <c r="D3" s="211" t="s">
        <v>219</v>
      </c>
      <c r="E3" s="212" t="s">
        <v>221</v>
      </c>
      <c r="F3" s="213" t="s">
        <v>201</v>
      </c>
      <c r="G3" s="214"/>
      <c r="H3" s="231"/>
      <c r="I3" s="215"/>
      <c r="K3" s="237" t="str">
        <f>F3&amp;CHAR(10)&amp;G3&amp;CHAR(10)&amp;H3&amp;CHAR(10)&amp;I3</f>
        <v xml:space="preserve">I.S. EN 14825
</v>
      </c>
    </row>
    <row r="4" spans="1:14" ht="24" customHeight="1">
      <c r="A4" s="209" t="str">
        <f t="shared" ref="A4:A30" ca="1" si="0">IF(AND($E$52=B4,$E$54=C4,$E$53=D4,$E$55=E4 ),1,"")</f>
        <v/>
      </c>
      <c r="B4" s="210" t="s">
        <v>205</v>
      </c>
      <c r="C4" s="211" t="s">
        <v>218</v>
      </c>
      <c r="D4" s="211" t="s">
        <v>204</v>
      </c>
      <c r="E4" s="212" t="s">
        <v>221</v>
      </c>
      <c r="F4" s="216" t="s">
        <v>201</v>
      </c>
      <c r="G4" s="217"/>
      <c r="H4" s="232"/>
      <c r="I4" s="218"/>
      <c r="K4" s="237" t="str">
        <f t="shared" ref="K4:K30" si="1">F4&amp;CHAR(10)&amp;G4&amp;CHAR(10)&amp;H4&amp;CHAR(10)&amp;I4</f>
        <v xml:space="preserve">I.S. EN 14825
</v>
      </c>
    </row>
    <row r="5" spans="1:14" ht="24" customHeight="1">
      <c r="A5" s="209" t="str">
        <f t="shared" ca="1" si="0"/>
        <v/>
      </c>
      <c r="B5" s="210" t="s">
        <v>220</v>
      </c>
      <c r="C5" s="211" t="s">
        <v>218</v>
      </c>
      <c r="D5" s="211" t="s">
        <v>219</v>
      </c>
      <c r="E5" s="212" t="s">
        <v>221</v>
      </c>
      <c r="F5" s="216" t="s">
        <v>201</v>
      </c>
      <c r="G5" s="217"/>
      <c r="H5" s="232"/>
      <c r="I5" s="218"/>
      <c r="K5" s="237" t="str">
        <f t="shared" si="1"/>
        <v xml:space="preserve">I.S. EN 14825
</v>
      </c>
    </row>
    <row r="6" spans="1:14" ht="24" customHeight="1">
      <c r="A6" s="209" t="str">
        <f t="shared" ca="1" si="0"/>
        <v/>
      </c>
      <c r="B6" s="210" t="s">
        <v>220</v>
      </c>
      <c r="C6" s="211" t="s">
        <v>218</v>
      </c>
      <c r="D6" s="211" t="s">
        <v>204</v>
      </c>
      <c r="E6" s="212" t="s">
        <v>221</v>
      </c>
      <c r="F6" s="216" t="s">
        <v>201</v>
      </c>
      <c r="G6" s="217"/>
      <c r="H6" s="232"/>
      <c r="I6" s="218"/>
      <c r="K6" s="237" t="str">
        <f t="shared" si="1"/>
        <v xml:space="preserve">I.S. EN 14825
</v>
      </c>
    </row>
    <row r="7" spans="1:14" ht="24" customHeight="1">
      <c r="A7" s="209" t="str">
        <f t="shared" ca="1" si="0"/>
        <v/>
      </c>
      <c r="B7" s="210" t="s">
        <v>231</v>
      </c>
      <c r="C7" s="211" t="s">
        <v>218</v>
      </c>
      <c r="D7" s="211" t="s">
        <v>219</v>
      </c>
      <c r="E7" s="212" t="s">
        <v>221</v>
      </c>
      <c r="F7" s="216" t="s">
        <v>201</v>
      </c>
      <c r="G7" s="217"/>
      <c r="H7" s="232"/>
      <c r="I7" s="218"/>
      <c r="K7" s="237" t="str">
        <f t="shared" si="1"/>
        <v xml:space="preserve">I.S. EN 14825
</v>
      </c>
    </row>
    <row r="8" spans="1:14" ht="24" customHeight="1">
      <c r="A8" s="209" t="str">
        <f t="shared" ca="1" si="0"/>
        <v/>
      </c>
      <c r="B8" s="210" t="s">
        <v>231</v>
      </c>
      <c r="C8" s="211" t="s">
        <v>218</v>
      </c>
      <c r="D8" s="211" t="s">
        <v>204</v>
      </c>
      <c r="E8" s="212" t="s">
        <v>221</v>
      </c>
      <c r="F8" s="216" t="s">
        <v>201</v>
      </c>
      <c r="G8" s="217"/>
      <c r="H8" s="232"/>
      <c r="I8" s="218"/>
      <c r="K8" s="237" t="str">
        <f t="shared" si="1"/>
        <v xml:space="preserve">I.S. EN 14825
</v>
      </c>
    </row>
    <row r="9" spans="1:14" ht="24" customHeight="1">
      <c r="A9" s="209" t="str">
        <f t="shared" ca="1" si="0"/>
        <v/>
      </c>
      <c r="B9" s="210" t="s">
        <v>242</v>
      </c>
      <c r="C9" s="211" t="s">
        <v>218</v>
      </c>
      <c r="D9" s="211" t="s">
        <v>219</v>
      </c>
      <c r="E9" s="212" t="s">
        <v>221</v>
      </c>
      <c r="F9" s="216" t="s">
        <v>201</v>
      </c>
      <c r="G9" s="217"/>
      <c r="H9" s="232"/>
      <c r="I9" s="218"/>
      <c r="K9" s="237" t="str">
        <f t="shared" si="1"/>
        <v xml:space="preserve">I.S. EN 14825
</v>
      </c>
    </row>
    <row r="10" spans="1:14" ht="24" customHeight="1">
      <c r="A10" s="209" t="str">
        <f t="shared" ca="1" si="0"/>
        <v/>
      </c>
      <c r="B10" s="210" t="s">
        <v>242</v>
      </c>
      <c r="C10" s="211" t="s">
        <v>218</v>
      </c>
      <c r="D10" s="211" t="s">
        <v>204</v>
      </c>
      <c r="E10" s="212" t="s">
        <v>221</v>
      </c>
      <c r="F10" s="216" t="s">
        <v>201</v>
      </c>
      <c r="G10" s="217"/>
      <c r="H10" s="232"/>
      <c r="I10" s="218"/>
      <c r="K10" s="237" t="str">
        <f t="shared" si="1"/>
        <v xml:space="preserve">I.S. EN 14825
</v>
      </c>
    </row>
    <row r="11" spans="1:14" ht="24" customHeight="1">
      <c r="A11" s="209" t="str">
        <f t="shared" ca="1" si="0"/>
        <v/>
      </c>
      <c r="B11" s="210" t="s">
        <v>250</v>
      </c>
      <c r="C11" s="211" t="s">
        <v>218</v>
      </c>
      <c r="D11" s="211" t="s">
        <v>219</v>
      </c>
      <c r="E11" s="212" t="s">
        <v>221</v>
      </c>
      <c r="F11" s="216" t="s">
        <v>201</v>
      </c>
      <c r="G11" s="217"/>
      <c r="H11" s="232"/>
      <c r="I11" s="218"/>
      <c r="K11" s="237" t="str">
        <f t="shared" si="1"/>
        <v xml:space="preserve">I.S. EN 14825
</v>
      </c>
    </row>
    <row r="12" spans="1:14" ht="24" customHeight="1">
      <c r="A12" s="209" t="str">
        <f t="shared" ca="1" si="0"/>
        <v/>
      </c>
      <c r="B12" s="210" t="s">
        <v>250</v>
      </c>
      <c r="C12" s="211" t="s">
        <v>218</v>
      </c>
      <c r="D12" s="211" t="s">
        <v>204</v>
      </c>
      <c r="E12" s="212" t="s">
        <v>221</v>
      </c>
      <c r="F12" s="216" t="s">
        <v>201</v>
      </c>
      <c r="G12" s="217"/>
      <c r="H12" s="232"/>
      <c r="I12" s="218"/>
      <c r="K12" s="237" t="str">
        <f t="shared" si="1"/>
        <v xml:space="preserve">I.S. EN 14825
</v>
      </c>
    </row>
    <row r="13" spans="1:14" ht="24" customHeight="1">
      <c r="A13" s="209" t="str">
        <f t="shared" ca="1" si="0"/>
        <v/>
      </c>
      <c r="B13" s="210" t="s">
        <v>256</v>
      </c>
      <c r="C13" s="211" t="s">
        <v>218</v>
      </c>
      <c r="D13" s="211" t="s">
        <v>219</v>
      </c>
      <c r="E13" s="212" t="s">
        <v>221</v>
      </c>
      <c r="F13" s="216" t="s">
        <v>201</v>
      </c>
      <c r="G13" s="217"/>
      <c r="H13" s="232"/>
      <c r="I13" s="218"/>
      <c r="K13" s="237" t="str">
        <f t="shared" si="1"/>
        <v xml:space="preserve">I.S. EN 14825
</v>
      </c>
    </row>
    <row r="14" spans="1:14" ht="24" customHeight="1">
      <c r="A14" s="209" t="str">
        <f t="shared" ca="1" si="0"/>
        <v/>
      </c>
      <c r="B14" s="210" t="s">
        <v>261</v>
      </c>
      <c r="C14" s="211" t="s">
        <v>218</v>
      </c>
      <c r="D14" s="211" t="s">
        <v>219</v>
      </c>
      <c r="E14" s="212" t="s">
        <v>221</v>
      </c>
      <c r="F14" s="216" t="s">
        <v>201</v>
      </c>
      <c r="G14" s="217"/>
      <c r="H14" s="232"/>
      <c r="I14" s="218"/>
      <c r="K14" s="237" t="str">
        <f t="shared" si="1"/>
        <v xml:space="preserve">I.S. EN 14825
</v>
      </c>
    </row>
    <row r="15" spans="1:14" ht="24" customHeight="1">
      <c r="A15" s="209" t="str">
        <f t="shared" ca="1" si="0"/>
        <v/>
      </c>
      <c r="B15" s="210" t="s">
        <v>267</v>
      </c>
      <c r="C15" s="211" t="s">
        <v>218</v>
      </c>
      <c r="D15" s="211" t="s">
        <v>219</v>
      </c>
      <c r="E15" s="212" t="s">
        <v>221</v>
      </c>
      <c r="F15" s="216" t="s">
        <v>201</v>
      </c>
      <c r="G15" s="217"/>
      <c r="H15" s="232"/>
      <c r="I15" s="218"/>
      <c r="K15" s="237" t="str">
        <f t="shared" si="1"/>
        <v xml:space="preserve">I.S. EN 14825
</v>
      </c>
    </row>
    <row r="16" spans="1:14" ht="36.6" customHeight="1">
      <c r="A16" s="209" t="str">
        <f t="shared" ca="1" si="0"/>
        <v/>
      </c>
      <c r="B16" s="210" t="s">
        <v>205</v>
      </c>
      <c r="C16" s="211" t="s">
        <v>230</v>
      </c>
      <c r="D16" s="211" t="s">
        <v>219</v>
      </c>
      <c r="E16" s="212" t="s">
        <v>221</v>
      </c>
      <c r="F16" s="216"/>
      <c r="G16" s="217"/>
      <c r="H16" s="232"/>
      <c r="I16" s="218" t="s">
        <v>216</v>
      </c>
      <c r="K16" s="237" t="str">
        <f t="shared" si="1"/>
        <v xml:space="preserve">
I.S. EN 12309-6</v>
      </c>
    </row>
    <row r="17" spans="1:12" ht="33">
      <c r="A17" s="209" t="str">
        <f t="shared" ca="1" si="0"/>
        <v/>
      </c>
      <c r="B17" s="210" t="s">
        <v>205</v>
      </c>
      <c r="C17" s="211" t="s">
        <v>230</v>
      </c>
      <c r="D17" s="211" t="s">
        <v>204</v>
      </c>
      <c r="E17" s="212" t="s">
        <v>221</v>
      </c>
      <c r="F17" s="216"/>
      <c r="G17" s="217"/>
      <c r="H17" s="232"/>
      <c r="I17" s="218" t="s">
        <v>216</v>
      </c>
      <c r="K17" s="237" t="str">
        <f t="shared" si="1"/>
        <v xml:space="preserve">
I.S. EN 12309-6</v>
      </c>
    </row>
    <row r="18" spans="1:12" ht="33">
      <c r="A18" s="209" t="str">
        <f t="shared" ca="1" si="0"/>
        <v/>
      </c>
      <c r="B18" s="210" t="s">
        <v>220</v>
      </c>
      <c r="C18" s="211" t="s">
        <v>230</v>
      </c>
      <c r="D18" s="211" t="s">
        <v>219</v>
      </c>
      <c r="E18" s="212" t="s">
        <v>221</v>
      </c>
      <c r="F18" s="216"/>
      <c r="G18" s="217"/>
      <c r="H18" s="232"/>
      <c r="I18" s="218" t="s">
        <v>216</v>
      </c>
      <c r="K18" s="237" t="str">
        <f t="shared" si="1"/>
        <v xml:space="preserve">
I.S. EN 12309-6</v>
      </c>
    </row>
    <row r="19" spans="1:12" ht="33">
      <c r="A19" s="209" t="str">
        <f t="shared" ca="1" si="0"/>
        <v/>
      </c>
      <c r="B19" s="210" t="s">
        <v>220</v>
      </c>
      <c r="C19" s="211" t="s">
        <v>230</v>
      </c>
      <c r="D19" s="211" t="s">
        <v>204</v>
      </c>
      <c r="E19" s="212" t="s">
        <v>221</v>
      </c>
      <c r="F19" s="216"/>
      <c r="G19" s="217"/>
      <c r="H19" s="232"/>
      <c r="I19" s="218" t="s">
        <v>216</v>
      </c>
      <c r="K19" s="237" t="str">
        <f t="shared" si="1"/>
        <v xml:space="preserve">
I.S. EN 12309-6</v>
      </c>
    </row>
    <row r="20" spans="1:12" ht="33">
      <c r="A20" s="209" t="str">
        <f t="shared" ca="1" si="0"/>
        <v/>
      </c>
      <c r="B20" s="210" t="s">
        <v>231</v>
      </c>
      <c r="C20" s="211" t="s">
        <v>230</v>
      </c>
      <c r="D20" s="211" t="s">
        <v>219</v>
      </c>
      <c r="E20" s="212" t="s">
        <v>221</v>
      </c>
      <c r="F20" s="216"/>
      <c r="G20" s="217"/>
      <c r="H20" s="232"/>
      <c r="I20" s="218" t="s">
        <v>216</v>
      </c>
      <c r="K20" s="237" t="str">
        <f t="shared" si="1"/>
        <v xml:space="preserve">
I.S. EN 12309-6</v>
      </c>
    </row>
    <row r="21" spans="1:12" ht="33.75" thickBot="1">
      <c r="A21" s="209" t="str">
        <f t="shared" ca="1" si="0"/>
        <v/>
      </c>
      <c r="B21" s="210" t="s">
        <v>231</v>
      </c>
      <c r="C21" s="211" t="s">
        <v>230</v>
      </c>
      <c r="D21" s="211" t="s">
        <v>204</v>
      </c>
      <c r="E21" s="212" t="s">
        <v>221</v>
      </c>
      <c r="F21" s="219"/>
      <c r="G21" s="220"/>
      <c r="H21" s="233"/>
      <c r="I21" s="221" t="s">
        <v>216</v>
      </c>
      <c r="K21" s="237" t="str">
        <f t="shared" si="1"/>
        <v xml:space="preserve">
I.S. EN 12309-6</v>
      </c>
    </row>
    <row r="22" spans="1:12" ht="33">
      <c r="A22" s="209" t="str">
        <f t="shared" ca="1" si="0"/>
        <v/>
      </c>
      <c r="B22" s="210" t="s">
        <v>205</v>
      </c>
      <c r="C22" s="211" t="s">
        <v>218</v>
      </c>
      <c r="D22" s="211" t="s">
        <v>219</v>
      </c>
      <c r="E22" s="212" t="s">
        <v>232</v>
      </c>
      <c r="F22" s="213"/>
      <c r="G22" s="214" t="s">
        <v>645</v>
      </c>
      <c r="H22" s="231"/>
      <c r="I22" s="215"/>
      <c r="K22" s="237" t="str">
        <f t="shared" si="1"/>
        <v xml:space="preserve">
I.S. EN 14511
</v>
      </c>
    </row>
    <row r="23" spans="1:12" ht="33">
      <c r="A23" s="209" t="str">
        <f t="shared" ca="1" si="0"/>
        <v/>
      </c>
      <c r="B23" s="210" t="s">
        <v>220</v>
      </c>
      <c r="C23" s="211" t="s">
        <v>218</v>
      </c>
      <c r="D23" s="211" t="s">
        <v>219</v>
      </c>
      <c r="E23" s="212" t="s">
        <v>232</v>
      </c>
      <c r="F23" s="216"/>
      <c r="G23" s="217" t="s">
        <v>645</v>
      </c>
      <c r="H23" s="232"/>
      <c r="I23" s="218"/>
      <c r="K23" s="237" t="str">
        <f t="shared" si="1"/>
        <v xml:space="preserve">
I.S. EN 14511
</v>
      </c>
    </row>
    <row r="24" spans="1:12" ht="24" customHeight="1">
      <c r="A24" s="209" t="str">
        <f t="shared" ca="1" si="0"/>
        <v/>
      </c>
      <c r="B24" s="210" t="s">
        <v>231</v>
      </c>
      <c r="C24" s="211" t="s">
        <v>218</v>
      </c>
      <c r="D24" s="211" t="s">
        <v>219</v>
      </c>
      <c r="E24" s="212" t="s">
        <v>232</v>
      </c>
      <c r="F24" s="216"/>
      <c r="G24" s="217" t="s">
        <v>645</v>
      </c>
      <c r="H24" s="232"/>
      <c r="I24" s="218"/>
      <c r="K24" s="237" t="str">
        <f t="shared" si="1"/>
        <v xml:space="preserve">
I.S. EN 14511
</v>
      </c>
    </row>
    <row r="25" spans="1:12" ht="24" customHeight="1">
      <c r="A25" s="209" t="str">
        <f t="shared" ca="1" si="0"/>
        <v/>
      </c>
      <c r="B25" s="210" t="s">
        <v>242</v>
      </c>
      <c r="C25" s="211" t="s">
        <v>218</v>
      </c>
      <c r="D25" s="211" t="s">
        <v>219</v>
      </c>
      <c r="E25" s="212" t="s">
        <v>232</v>
      </c>
      <c r="F25" s="216"/>
      <c r="G25" s="217" t="s">
        <v>645</v>
      </c>
      <c r="H25" s="232"/>
      <c r="I25" s="218"/>
      <c r="K25" s="237" t="str">
        <f t="shared" si="1"/>
        <v xml:space="preserve">
I.S. EN 14511
</v>
      </c>
    </row>
    <row r="26" spans="1:12" ht="24" customHeight="1">
      <c r="A26" s="209" t="str">
        <f t="shared" ca="1" si="0"/>
        <v/>
      </c>
      <c r="B26" s="210" t="s">
        <v>250</v>
      </c>
      <c r="C26" s="211" t="s">
        <v>218</v>
      </c>
      <c r="D26" s="211" t="s">
        <v>219</v>
      </c>
      <c r="E26" s="212" t="s">
        <v>232</v>
      </c>
      <c r="F26" s="216"/>
      <c r="G26" s="217" t="s">
        <v>645</v>
      </c>
      <c r="H26" s="232"/>
      <c r="I26" s="218"/>
      <c r="K26" s="237" t="str">
        <f t="shared" si="1"/>
        <v xml:space="preserve">
I.S. EN 14511
</v>
      </c>
    </row>
    <row r="27" spans="1:12" ht="33">
      <c r="A27" s="209" t="str">
        <f t="shared" ca="1" si="0"/>
        <v/>
      </c>
      <c r="B27" s="210" t="s">
        <v>256</v>
      </c>
      <c r="C27" s="211" t="s">
        <v>218</v>
      </c>
      <c r="D27" s="211" t="s">
        <v>219</v>
      </c>
      <c r="E27" s="212" t="s">
        <v>232</v>
      </c>
      <c r="F27" s="216"/>
      <c r="G27" s="217" t="s">
        <v>645</v>
      </c>
      <c r="H27" s="232" t="s">
        <v>228</v>
      </c>
      <c r="I27" s="218"/>
      <c r="K27" s="237" t="str">
        <f t="shared" si="1"/>
        <v xml:space="preserve">
I.S. EN 14511
I.S. EN 13141
</v>
      </c>
    </row>
    <row r="28" spans="1:12" ht="33">
      <c r="A28" s="209" t="str">
        <f t="shared" ca="1" si="0"/>
        <v/>
      </c>
      <c r="B28" s="210" t="s">
        <v>261</v>
      </c>
      <c r="C28" s="211" t="s">
        <v>218</v>
      </c>
      <c r="D28" s="211" t="s">
        <v>219</v>
      </c>
      <c r="E28" s="212" t="s">
        <v>232</v>
      </c>
      <c r="F28" s="216"/>
      <c r="G28" s="217" t="s">
        <v>645</v>
      </c>
      <c r="H28" s="232"/>
      <c r="I28" s="218"/>
      <c r="K28" s="237" t="str">
        <f t="shared" si="1"/>
        <v xml:space="preserve">
I.S. EN 14511
</v>
      </c>
    </row>
    <row r="29" spans="1:12" ht="33">
      <c r="A29" s="209" t="str">
        <f t="shared" ca="1" si="0"/>
        <v/>
      </c>
      <c r="B29" s="210" t="s">
        <v>267</v>
      </c>
      <c r="C29" s="211" t="s">
        <v>218</v>
      </c>
      <c r="D29" s="211" t="s">
        <v>219</v>
      </c>
      <c r="E29" s="212" t="s">
        <v>232</v>
      </c>
      <c r="F29" s="216"/>
      <c r="G29" s="217" t="s">
        <v>645</v>
      </c>
      <c r="H29" s="232"/>
      <c r="I29" s="218"/>
      <c r="K29" s="237" t="str">
        <f t="shared" si="1"/>
        <v xml:space="preserve">
I.S. EN 14511
</v>
      </c>
    </row>
    <row r="30" spans="1:12" ht="41.45" customHeight="1" thickBot="1">
      <c r="A30" s="326" t="str">
        <f t="shared" ca="1" si="0"/>
        <v/>
      </c>
      <c r="B30" s="327" t="s">
        <v>271</v>
      </c>
      <c r="C30" s="328" t="s">
        <v>218</v>
      </c>
      <c r="D30" s="328" t="s">
        <v>219</v>
      </c>
      <c r="E30" s="329" t="s">
        <v>232</v>
      </c>
      <c r="F30" s="219"/>
      <c r="G30" s="220"/>
      <c r="H30" s="233" t="s">
        <v>228</v>
      </c>
      <c r="I30" s="221"/>
      <c r="K30" s="237" t="str">
        <f t="shared" si="1"/>
        <v xml:space="preserve">
I.S. EN 13141
</v>
      </c>
    </row>
    <row r="31" spans="1:12" ht="63.6" customHeight="1">
      <c r="A31" s="334" t="str">
        <f ca="1">IF(A32&lt;&gt;"",A32,IF(A33&lt;&gt;"",A33,A34))</f>
        <v>Valid space heat pump type selected.</v>
      </c>
      <c r="B31" s="325" t="str">
        <f ca="1">VLOOKUP(1,$A$3:$P$30,2,FALSE)</f>
        <v>Air to Water</v>
      </c>
      <c r="C31" s="325" t="str">
        <f ca="1">VLOOKUP(1,$A$3:$P$30,3,FALSE)</f>
        <v>Electricity</v>
      </c>
      <c r="D31" s="325" t="str">
        <f ca="1">VLOOKUP(1,$A$3:$P$30,4,FALSE)</f>
        <v>Not low temperature heat pump</v>
      </c>
      <c r="E31" s="325" t="str">
        <f ca="1">VLOOKUP(1,$A$3:$P$30,5,FALSE)</f>
        <v>Ecodesign applies and/or ecodesign data available</v>
      </c>
      <c r="F31" s="733" t="s">
        <v>646</v>
      </c>
      <c r="G31" s="733"/>
      <c r="H31" s="733"/>
      <c r="I31" s="733"/>
      <c r="J31" s="734"/>
      <c r="K31" s="324" t="str">
        <f ca="1">VLOOKUP(1,$A$3:$P$30,11,FALSE)</f>
        <v xml:space="preserve">I.S. EN 14825
</v>
      </c>
      <c r="L31" s="644"/>
    </row>
    <row r="32" spans="1:12" ht="24" customHeight="1">
      <c r="A32" s="222" t="str">
        <f ca="1">IF(AND(E53="Low temperature heat pump",E59=TRUE,E60&lt;&gt;"I.S. EN 14825/14511"),"ERROR: Low temperature heat pump cannot provide hot water.","")</f>
        <v/>
      </c>
      <c r="B32" s="223"/>
      <c r="C32" s="223"/>
      <c r="D32" s="223"/>
      <c r="E32" s="223"/>
      <c r="F32" s="223"/>
      <c r="G32" s="223"/>
      <c r="H32" s="223"/>
    </row>
    <row r="33" spans="1:8" ht="24" customHeight="1">
      <c r="A33" s="222" t="str">
        <f ca="1">IF(SUM(A3:A30)&lt;&gt;1,"ERROR: Invalid space heat pump type selected. See allowable options in 'Space standards ID' tab","")</f>
        <v/>
      </c>
      <c r="B33" s="223"/>
      <c r="C33" s="223"/>
      <c r="D33" s="223"/>
      <c r="E33" s="223"/>
      <c r="F33" s="223"/>
      <c r="G33" s="223"/>
      <c r="H33" s="223"/>
    </row>
    <row r="34" spans="1:8" ht="24" customHeight="1">
      <c r="A34" s="645" t="s">
        <v>647</v>
      </c>
    </row>
    <row r="35" spans="1:8" ht="24" customHeight="1">
      <c r="A35" s="222"/>
    </row>
    <row r="36" spans="1:8" ht="24" customHeight="1">
      <c r="A36" s="222"/>
    </row>
    <row r="37" spans="1:8" ht="15"/>
    <row r="38" spans="1:8" ht="15"/>
    <row r="39" spans="1:8" ht="15"/>
    <row r="40" spans="1:8" ht="15"/>
    <row r="41" spans="1:8" ht="15"/>
    <row r="42" spans="1:8" ht="15"/>
    <row r="43" spans="1:8" ht="15"/>
    <row r="44" spans="1:8" ht="15"/>
    <row r="45" spans="1:8" ht="15"/>
    <row r="46" spans="1:8" ht="15"/>
    <row r="47" spans="1:8" ht="15"/>
    <row r="48" spans="1:8" ht="15"/>
    <row r="49" spans="1:29" ht="15.75" thickBot="1"/>
    <row r="50" spans="1:29" s="80" customFormat="1" ht="39" thickBot="1">
      <c r="A50" s="335" t="s">
        <v>429</v>
      </c>
      <c r="B50" s="336" t="s">
        <v>430</v>
      </c>
      <c r="C50" s="336" t="s">
        <v>431</v>
      </c>
      <c r="D50" s="336" t="s">
        <v>432</v>
      </c>
      <c r="E50" s="337"/>
      <c r="F50" s="337"/>
      <c r="G50" s="337"/>
      <c r="H50" s="337"/>
      <c r="I50" s="338"/>
      <c r="J50" s="82"/>
      <c r="L50" s="82"/>
      <c r="AC50" s="82"/>
    </row>
    <row r="51" spans="1:29" s="80" customFormat="1" ht="69.599999999999994" customHeight="1">
      <c r="A51" s="276" t="s">
        <v>584</v>
      </c>
      <c r="B51" s="276" t="str">
        <f>RIGHT(B50)</f>
        <v>1</v>
      </c>
      <c r="C51" s="276" t="str">
        <f>RIGHT(C50)</f>
        <v>2</v>
      </c>
      <c r="D51" s="276" t="str">
        <f>RIGHT(D50)</f>
        <v>3</v>
      </c>
      <c r="E51" s="276" t="s">
        <v>434</v>
      </c>
      <c r="F51" s="277" t="s">
        <v>177</v>
      </c>
      <c r="G51" s="277" t="s">
        <v>178</v>
      </c>
      <c r="H51" s="277" t="s">
        <v>435</v>
      </c>
      <c r="I51" s="82"/>
      <c r="J51" s="82"/>
      <c r="L51" s="82"/>
      <c r="AC51" s="82"/>
    </row>
    <row r="52" spans="1:29" s="80" customFormat="1" ht="31.5">
      <c r="A52" s="282" t="str">
        <f>HP_1!A12</f>
        <v>Type of heat pump</v>
      </c>
      <c r="B52" s="320" t="str">
        <f>HP_1!B12</f>
        <v>Air to Water</v>
      </c>
      <c r="C52" s="279" t="str" cm="1">
        <f t="array" aca="1" ref="C52" ca="1">INDIRECT($F52&amp;C$51&amp;"!"&amp;$G52)</f>
        <v>Air to Water</v>
      </c>
      <c r="D52" s="279" t="str" cm="1">
        <f t="array" aca="1" ref="D52" ca="1">INDIRECT($F52&amp;D$51&amp;"!"&amp;$G52)</f>
        <v>Air to Water</v>
      </c>
      <c r="E52" s="293" t="str">
        <f ca="1">VLOOKUP(A52,A52:D52,$N$1+1,FALSE)</f>
        <v>Air to Water</v>
      </c>
      <c r="F52" s="280" t="str">
        <f ca="1">LEFT(H52,FIND("1",H52)-1)</f>
        <v>HP_</v>
      </c>
      <c r="G52" s="280" t="str">
        <f ca="1">RIGHT(H52,LEN(H52)-FIND("!",H52))</f>
        <v>B12</v>
      </c>
      <c r="H52" s="281" t="str">
        <f ca="1">SUBSTITUTE( _xlfn.FORMULATEXT(B52),"=","")</f>
        <v>HP_1!B12</v>
      </c>
      <c r="L52" s="82"/>
      <c r="AC52" s="82"/>
    </row>
    <row r="53" spans="1:29" s="80" customFormat="1" ht="78.75">
      <c r="A53" s="282" t="str">
        <f>HP_1!D10</f>
        <v xml:space="preserve">Is this a Low Temperature Heat Pump? </v>
      </c>
      <c r="B53" s="322" t="str">
        <f>HP_1!G10</f>
        <v>Not low temperature heat pump</v>
      </c>
      <c r="C53" s="279" t="str" cm="1">
        <f t="array" aca="1" ref="C53" ca="1">INDIRECT($F53&amp;C$51&amp;"!"&amp;$G53)</f>
        <v>Not low temperature heat pump</v>
      </c>
      <c r="D53" s="279" t="str" cm="1">
        <f t="array" aca="1" ref="D53" ca="1">INDIRECT($F53&amp;D$51&amp;"!"&amp;$G53)</f>
        <v>Not low temperature heat pump</v>
      </c>
      <c r="E53" s="293" t="str">
        <f t="shared" ref="E53:E60" ca="1" si="2">VLOOKUP(A53,A53:D53,$N$1+1,FALSE)</f>
        <v>Not low temperature heat pump</v>
      </c>
      <c r="F53" s="280" t="str">
        <f ca="1">LEFT(H53,FIND("1",H53)-1)</f>
        <v>HP_</v>
      </c>
      <c r="G53" s="280" t="str">
        <f ca="1">RIGHT(H53,LEN(H53)-FIND("!",H53))</f>
        <v>G10</v>
      </c>
      <c r="H53" s="281" t="str">
        <f ca="1">SUBSTITUTE( _xlfn.FORMULATEXT(B53),"=","")</f>
        <v>HP_1!G10</v>
      </c>
      <c r="L53" s="82"/>
      <c r="AC53" s="82"/>
    </row>
    <row r="54" spans="1:29" s="80" customFormat="1" ht="60.6" customHeight="1">
      <c r="A54" s="282" t="str">
        <f>HP_1!D11</f>
        <v xml:space="preserve">Is this heat pump electric or gas (GAHP)? </v>
      </c>
      <c r="B54" s="321" t="str">
        <f>HP_1!G11</f>
        <v>Electricity</v>
      </c>
      <c r="C54" s="279" t="str" cm="1">
        <f t="array" aca="1" ref="C54" ca="1">INDIRECT($F54&amp;C$51&amp;"!"&amp;$G54)</f>
        <v>Electricity</v>
      </c>
      <c r="D54" s="279" t="str" cm="1">
        <f t="array" aca="1" ref="D54" ca="1">INDIRECT($F54&amp;D$51&amp;"!"&amp;$G54)</f>
        <v>Electricity</v>
      </c>
      <c r="E54" s="293" t="str">
        <f t="shared" ca="1" si="2"/>
        <v>Electricity</v>
      </c>
      <c r="F54" s="280" t="str">
        <f t="shared" ref="F54:F56" ca="1" si="3">LEFT(H54,FIND("1",H54)-1)</f>
        <v>HP_</v>
      </c>
      <c r="G54" s="280" t="str">
        <f t="shared" ref="G54:G56" ca="1" si="4">RIGHT(H54,LEN(H54)-FIND("!",H54))</f>
        <v>G11</v>
      </c>
      <c r="H54" s="281" t="str">
        <f t="shared" ref="H54:H56" ca="1" si="5">SUBSTITUTE( _xlfn.FORMULATEXT(B54),"=","")</f>
        <v>HP_1!G11</v>
      </c>
      <c r="L54" s="82"/>
      <c r="AC54" s="82"/>
    </row>
    <row r="55" spans="1:29" s="80" customFormat="1" ht="110.25">
      <c r="A55" s="282" t="str">
        <f>HP_1!D12</f>
        <v>What is the status of this heat pump regarding Ecodesign data?</v>
      </c>
      <c r="B55" s="322" t="str">
        <f>HP_1!G12</f>
        <v>Ecodesign applies and/or ecodesign data available</v>
      </c>
      <c r="C55" s="279" t="str" cm="1">
        <f t="array" aca="1" ref="C55" ca="1">INDIRECT($F55&amp;C$51&amp;"!"&amp;$G55)</f>
        <v>Ecodesign applies and/or ecodesign data available</v>
      </c>
      <c r="D55" s="279" t="str" cm="1">
        <f t="array" aca="1" ref="D55" ca="1">INDIRECT($F55&amp;D$51&amp;"!"&amp;$G55)</f>
        <v>Ecodesign applies and/or ecodesign data available</v>
      </c>
      <c r="E55" s="293" t="str">
        <f t="shared" ca="1" si="2"/>
        <v>Ecodesign applies and/or ecodesign data available</v>
      </c>
      <c r="F55" s="280" t="str">
        <f t="shared" ca="1" si="3"/>
        <v>HP_</v>
      </c>
      <c r="G55" s="280" t="str">
        <f t="shared" ca="1" si="4"/>
        <v>G12</v>
      </c>
      <c r="H55" s="281" t="str">
        <f t="shared" ca="1" si="5"/>
        <v>HP_1!G12</v>
      </c>
      <c r="L55" s="82"/>
      <c r="AC55" s="82"/>
    </row>
    <row r="56" spans="1:29" s="80" customFormat="1" ht="63">
      <c r="A56" s="282" t="str">
        <f>HP_1!A14</f>
        <v>Space Heating Test Standard</v>
      </c>
      <c r="B56" s="320" t="str">
        <f>HP_1!B14</f>
        <v>I.S. EN 14825</v>
      </c>
      <c r="C56" s="279" t="str" cm="1">
        <f t="array" aca="1" ref="C56" ca="1">INDIRECT($F56&amp;C$51&amp;"!"&amp;$G56)</f>
        <v>I.S. EN 14825</v>
      </c>
      <c r="D56" s="279" t="str" cm="1">
        <f t="array" aca="1" ref="D56" ca="1">INDIRECT($F56&amp;D$51&amp;"!"&amp;$G56)</f>
        <v>I.S. EN 14825</v>
      </c>
      <c r="E56" s="293" t="str">
        <f t="shared" ca="1" si="2"/>
        <v>I.S. EN 14825</v>
      </c>
      <c r="F56" s="280" t="str">
        <f t="shared" ca="1" si="3"/>
        <v>HP_</v>
      </c>
      <c r="G56" s="280" t="str">
        <f t="shared" ca="1" si="4"/>
        <v>B14</v>
      </c>
      <c r="H56" s="281" t="str">
        <f t="shared" ca="1" si="5"/>
        <v>HP_1!B14</v>
      </c>
      <c r="L56" s="82"/>
      <c r="AC56" s="82"/>
    </row>
    <row r="57" spans="1:29" ht="53.45" customHeight="1">
      <c r="A57" s="282" t="str">
        <f>HP_1!O10</f>
        <v>Space Heating served by HP</v>
      </c>
      <c r="B57" s="330" t="b">
        <f>HP_1!N10</f>
        <v>1</v>
      </c>
      <c r="C57" s="331" t="b" cm="1">
        <f t="array" aca="1" ref="C57" ca="1">INDIRECT($F57&amp;C$51&amp;"!"&amp;$G57)</f>
        <v>1</v>
      </c>
      <c r="D57" s="331" t="b" cm="1">
        <f t="array" aca="1" ref="D57" ca="1">INDIRECT($F57&amp;D$51&amp;"!"&amp;$G57)</f>
        <v>1</v>
      </c>
      <c r="E57" s="295" t="b">
        <f t="shared" ca="1" si="2"/>
        <v>1</v>
      </c>
      <c r="F57" s="332" t="str">
        <f ca="1">LEFT(H57,FIND("1",H57)-1)</f>
        <v>HP_</v>
      </c>
      <c r="G57" s="332" t="str">
        <f ca="1">RIGHT(H57,LEN(H57)-FIND("!",H57))</f>
        <v>N10</v>
      </c>
      <c r="H57" s="333" t="str">
        <f ca="1">SUBSTITUTE( _xlfn.FORMULATEXT(B57),"=","")</f>
        <v>HP_1!N10</v>
      </c>
    </row>
    <row r="58" spans="1:29" ht="72" customHeight="1">
      <c r="A58" s="282" t="str">
        <f>HP_1!O11</f>
        <v>Hot Water served by HP</v>
      </c>
      <c r="B58" s="330" t="b">
        <f>HP_1!N11</f>
        <v>1</v>
      </c>
      <c r="C58" s="331" t="b" cm="1">
        <f t="array" aca="1" ref="C58" ca="1">INDIRECT($F58&amp;C$51&amp;"!"&amp;$G58)</f>
        <v>1</v>
      </c>
      <c r="D58" s="331" t="b" cm="1">
        <f t="array" aca="1" ref="D58" ca="1">INDIRECT($F58&amp;D$51&amp;"!"&amp;$G58)</f>
        <v>1</v>
      </c>
      <c r="E58" s="295" t="b">
        <f t="shared" ca="1" si="2"/>
        <v>1</v>
      </c>
      <c r="F58" s="332" t="str">
        <f t="shared" ref="F58:F60" ca="1" si="6">LEFT(H58,FIND("1",H58)-1)</f>
        <v>HP_</v>
      </c>
      <c r="G58" s="332" t="str">
        <f t="shared" ref="G58:G60" ca="1" si="7">RIGHT(H58,LEN(H58)-FIND("!",H58))</f>
        <v>N11</v>
      </c>
      <c r="H58" s="333" t="str">
        <f t="shared" ref="H58:H60" ca="1" si="8">SUBSTITUTE( _xlfn.FORMULATEXT(B58),"=","")</f>
        <v>HP_1!N11</v>
      </c>
    </row>
    <row r="59" spans="1:29" ht="65.45" customHeight="1">
      <c r="A59" s="282" t="str">
        <f>HP_1!O12</f>
        <v>Same HP for Space and Water Heating</v>
      </c>
      <c r="B59" s="330" t="b">
        <f>HP_1!N12</f>
        <v>1</v>
      </c>
      <c r="C59" s="331" t="b" cm="1">
        <f t="array" aca="1" ref="C59" ca="1">INDIRECT($F59&amp;C$51&amp;"!"&amp;$G59)</f>
        <v>1</v>
      </c>
      <c r="D59" s="331" t="b" cm="1">
        <f t="array" aca="1" ref="D59" ca="1">INDIRECT($F59&amp;D$51&amp;"!"&amp;$G59)</f>
        <v>1</v>
      </c>
      <c r="E59" s="295" t="b">
        <f t="shared" ca="1" si="2"/>
        <v>1</v>
      </c>
      <c r="F59" s="332" t="str">
        <f t="shared" ca="1" si="6"/>
        <v>HP_</v>
      </c>
      <c r="G59" s="332" t="str">
        <f t="shared" ca="1" si="7"/>
        <v>N12</v>
      </c>
      <c r="H59" s="333" t="str">
        <f t="shared" ca="1" si="8"/>
        <v>HP_1!N12</v>
      </c>
    </row>
    <row r="60" spans="1:29" ht="24" customHeight="1">
      <c r="A60" s="282" t="str">
        <f>HP_1!A68</f>
        <v>Water Heating Test Standard</v>
      </c>
      <c r="B60" s="320" t="str">
        <f>HP_1!B68</f>
        <v>I.S. EN 16147</v>
      </c>
      <c r="C60" s="279" t="str" cm="1">
        <f t="array" aca="1" ref="C60" ca="1">INDIRECT($F60&amp;C$51&amp;"!"&amp;$G60)</f>
        <v>I.S. EN 16147</v>
      </c>
      <c r="D60" s="279" t="str" cm="1">
        <f t="array" aca="1" ref="D60" ca="1">INDIRECT($F60&amp;D$51&amp;"!"&amp;$G60)</f>
        <v>I.S. EN 16147</v>
      </c>
      <c r="E60" s="293" t="str">
        <f t="shared" ca="1" si="2"/>
        <v>I.S. EN 16147</v>
      </c>
      <c r="F60" s="280" t="str">
        <f t="shared" ca="1" si="6"/>
        <v>HP_</v>
      </c>
      <c r="G60" s="280" t="str">
        <f t="shared" ca="1" si="7"/>
        <v>B68</v>
      </c>
      <c r="H60" s="281" t="str">
        <f t="shared" ca="1" si="8"/>
        <v>HP_1!B68</v>
      </c>
    </row>
  </sheetData>
  <sheetProtection algorithmName="SHA-512" hashValue="SjyN/tzh1NK/jVeZNp4dDjoq2h1gBi/mjx11hMHrrNUzMkGpmklgZZZXBM08OWXL+i8NUu/oGK7CJG3eRCWyiw==" saltValue="VrnhEtQUjMW8FiCFJkUULQ==" spinCount="100000" sheet="1" objects="1" scenarios="1"/>
  <autoFilter ref="A2:K34" xr:uid="{3A978C5E-8AA7-4C8C-8395-C11E814AEE32}"/>
  <mergeCells count="3">
    <mergeCell ref="A1:D1"/>
    <mergeCell ref="F1:I1"/>
    <mergeCell ref="F31:J3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67371CF-EDEA-48B1-960D-0BFE61E60909}">
          <x14:formula1>
            <xm:f>HP_1!$N$1:$N$7</xm:f>
          </x14:formula1>
          <xm:sqref>F3:I30</xm:sqref>
        </x14:dataValidation>
        <x14:dataValidation type="list" allowBlank="1" showInputMessage="1" showErrorMessage="1" xr:uid="{CFF54B3A-8E4A-4369-ACA3-CDD06F7E93FB}">
          <x14:formula1>
            <xm:f>HP_1!$T$2:$T$3</xm:f>
          </x14:formula1>
          <xm:sqref>E3:E30</xm:sqref>
        </x14:dataValidation>
        <x14:dataValidation type="list" allowBlank="1" showInputMessage="1" showErrorMessage="1" xr:uid="{99017F0D-732E-4843-8C0B-3732CC9FFBC3}">
          <x14:formula1>
            <xm:f>HP_1!$R$1:$R$2</xm:f>
          </x14:formula1>
          <xm:sqref>D3:D30</xm:sqref>
        </x14:dataValidation>
        <x14:dataValidation type="list" allowBlank="1" showInputMessage="1" showErrorMessage="1" xr:uid="{0800A0AB-A68E-4900-A7E5-D722D97E1E84}">
          <x14:formula1>
            <xm:f>HP_1!$Q$2:$Q$3</xm:f>
          </x14:formula1>
          <xm:sqref>C3:C30</xm:sqref>
        </x14:dataValidation>
        <x14:dataValidation type="list" allowBlank="1" showInputMessage="1" showErrorMessage="1" xr:uid="{3236AEFB-740F-475B-8AC3-1E61DFC3E204}">
          <x14:formula1>
            <xm:f>HP_1!$S$1:$S$9</xm:f>
          </x14:formula1>
          <xm:sqref>B3:B30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0D7C-6ED6-45A5-939F-52CF7CB74441}">
  <dimension ref="A1:AC60"/>
  <sheetViews>
    <sheetView zoomScale="55" zoomScaleNormal="55" workbookViewId="0">
      <selection activeCell="D13" sqref="D13"/>
    </sheetView>
  </sheetViews>
  <sheetFormatPr defaultColWidth="8.85546875" defaultRowHeight="24" customHeight="1"/>
  <cols>
    <col min="1" max="1" width="12.5703125" style="198" customWidth="1"/>
    <col min="2" max="2" width="25.5703125" style="198" bestFit="1" customWidth="1"/>
    <col min="3" max="3" width="18.5703125" style="198" bestFit="1" customWidth="1"/>
    <col min="4" max="4" width="84.85546875" style="198" customWidth="1"/>
    <col min="5" max="6" width="12.42578125" style="198" bestFit="1" customWidth="1"/>
    <col min="7" max="7" width="11.85546875" style="198" bestFit="1" customWidth="1"/>
    <col min="8" max="8" width="14.5703125" style="198" customWidth="1"/>
    <col min="9" max="9" width="18.5703125" style="207" bestFit="1" customWidth="1"/>
    <col min="10" max="10" width="27.5703125" style="208" customWidth="1"/>
    <col min="11" max="16384" width="8.85546875" style="198"/>
  </cols>
  <sheetData>
    <row r="1" spans="1:14" ht="133.35" customHeight="1" thickBot="1">
      <c r="A1" s="727" t="s">
        <v>648</v>
      </c>
      <c r="B1" s="728"/>
      <c r="C1" s="728"/>
      <c r="D1" s="197" t="str">
        <f>"Diagnostics cell: 
"&amp;E52&amp;"
"
&amp;E54&amp;"
"&amp;E55&amp;"
"&amp;E56</f>
        <v>Diagnostics cell: 
Air to Water
Electricity
Ecodesign applies and/or ecodesign data available
I.S. EN 16147</v>
      </c>
      <c r="E1" s="735" t="s">
        <v>649</v>
      </c>
      <c r="F1" s="736"/>
      <c r="G1" s="736"/>
      <c r="H1" s="736"/>
      <c r="I1" s="737"/>
      <c r="J1" s="199" t="s">
        <v>650</v>
      </c>
      <c r="M1" s="323" t="s">
        <v>200</v>
      </c>
      <c r="N1" s="259">
        <v>1</v>
      </c>
    </row>
    <row r="2" spans="1:14" s="207" customFormat="1" ht="38.1" customHeight="1" thickBot="1">
      <c r="A2" s="200" t="s">
        <v>641</v>
      </c>
      <c r="B2" s="201" t="s">
        <v>281</v>
      </c>
      <c r="C2" s="202" t="s">
        <v>642</v>
      </c>
      <c r="D2" s="238" t="s">
        <v>644</v>
      </c>
      <c r="E2" s="339" t="s">
        <v>249</v>
      </c>
      <c r="F2" s="340" t="s">
        <v>645</v>
      </c>
      <c r="G2" s="340" t="s">
        <v>651</v>
      </c>
      <c r="H2" s="341" t="s">
        <v>260</v>
      </c>
      <c r="I2" s="342" t="s">
        <v>266</v>
      </c>
      <c r="J2" s="208"/>
    </row>
    <row r="3" spans="1:14" ht="41.25">
      <c r="A3" s="209">
        <f>IF(AND($E$52=B3,$E$54=C3,$E$55=D3 ),1,"")</f>
        <v>1</v>
      </c>
      <c r="B3" s="210" t="s">
        <v>205</v>
      </c>
      <c r="C3" s="211" t="s">
        <v>218</v>
      </c>
      <c r="D3" s="239" t="s">
        <v>221</v>
      </c>
      <c r="E3" s="343" t="s">
        <v>249</v>
      </c>
      <c r="F3" s="343"/>
      <c r="G3" s="343"/>
      <c r="H3" s="343"/>
      <c r="I3" s="343" t="s">
        <v>266</v>
      </c>
      <c r="J3" s="240" t="str">
        <f>E3&amp;CHAR(10)&amp;F3&amp;CHAR(10)&amp;G3&amp;CHAR(10)&amp;H3&amp;CHAR(10)&amp;I3</f>
        <v>I.S. EN 16147
I.S. EN 14825/14511</v>
      </c>
    </row>
    <row r="4" spans="1:14" ht="41.25">
      <c r="A4" s="209" t="str">
        <f t="shared" ref="A4:A15" si="0">IF(AND($E$52=B4,$E$54=C4,$E$55=D4 ),1,"")</f>
        <v/>
      </c>
      <c r="B4" s="210" t="s">
        <v>220</v>
      </c>
      <c r="C4" s="211" t="s">
        <v>218</v>
      </c>
      <c r="D4" s="239" t="s">
        <v>221</v>
      </c>
      <c r="E4" s="343" t="s">
        <v>249</v>
      </c>
      <c r="F4" s="343"/>
      <c r="G4" s="343"/>
      <c r="H4" s="343"/>
      <c r="I4" s="343" t="s">
        <v>266</v>
      </c>
      <c r="J4" s="240" t="str">
        <f t="shared" ref="J4:J15" si="1">E4&amp;CHAR(10)&amp;F4&amp;CHAR(10)&amp;G4&amp;CHAR(10)&amp;H4&amp;CHAR(10)&amp;I4</f>
        <v>I.S. EN 16147
I.S. EN 14825/14511</v>
      </c>
    </row>
    <row r="5" spans="1:14" ht="41.25">
      <c r="A5" s="209" t="str">
        <f t="shared" si="0"/>
        <v/>
      </c>
      <c r="B5" s="210" t="s">
        <v>231</v>
      </c>
      <c r="C5" s="211" t="s">
        <v>218</v>
      </c>
      <c r="D5" s="239" t="s">
        <v>221</v>
      </c>
      <c r="E5" s="343" t="s">
        <v>249</v>
      </c>
      <c r="F5" s="343"/>
      <c r="G5" s="343"/>
      <c r="H5" s="343"/>
      <c r="I5" s="343" t="s">
        <v>266</v>
      </c>
      <c r="J5" s="240" t="str">
        <f t="shared" si="1"/>
        <v>I.S. EN 16147
I.S. EN 14825/14511</v>
      </c>
    </row>
    <row r="6" spans="1:14" ht="41.25">
      <c r="A6" s="209" t="str">
        <f t="shared" si="0"/>
        <v/>
      </c>
      <c r="B6" s="210" t="s">
        <v>242</v>
      </c>
      <c r="C6" s="211" t="s">
        <v>218</v>
      </c>
      <c r="D6" s="239" t="s">
        <v>221</v>
      </c>
      <c r="E6" s="343" t="s">
        <v>249</v>
      </c>
      <c r="F6" s="343"/>
      <c r="G6" s="343"/>
      <c r="H6" s="343"/>
      <c r="I6" s="343" t="s">
        <v>266</v>
      </c>
      <c r="J6" s="240" t="str">
        <f t="shared" si="1"/>
        <v>I.S. EN 16147
I.S. EN 14825/14511</v>
      </c>
    </row>
    <row r="7" spans="1:14" ht="41.25">
      <c r="A7" s="209" t="str">
        <f t="shared" si="0"/>
        <v/>
      </c>
      <c r="B7" s="210" t="s">
        <v>250</v>
      </c>
      <c r="C7" s="211" t="s">
        <v>218</v>
      </c>
      <c r="D7" s="239" t="s">
        <v>221</v>
      </c>
      <c r="E7" s="343" t="s">
        <v>249</v>
      </c>
      <c r="F7" s="343"/>
      <c r="G7" s="343"/>
      <c r="H7" s="343"/>
      <c r="I7" s="343" t="s">
        <v>266</v>
      </c>
      <c r="J7" s="240" t="str">
        <f t="shared" si="1"/>
        <v>I.S. EN 16147
I.S. EN 14825/14511</v>
      </c>
    </row>
    <row r="8" spans="1:14" ht="41.25">
      <c r="A8" s="209" t="str">
        <f t="shared" si="0"/>
        <v/>
      </c>
      <c r="B8" s="210" t="s">
        <v>205</v>
      </c>
      <c r="C8" s="211" t="s">
        <v>230</v>
      </c>
      <c r="D8" s="239" t="s">
        <v>221</v>
      </c>
      <c r="E8" s="343"/>
      <c r="F8" s="343"/>
      <c r="G8" s="343"/>
      <c r="H8" s="343" t="s">
        <v>260</v>
      </c>
      <c r="I8" s="343"/>
      <c r="J8" s="240" t="str">
        <f t="shared" si="1"/>
        <v xml:space="preserve">
I.S. EN  13203-6
</v>
      </c>
    </row>
    <row r="9" spans="1:14" ht="41.25">
      <c r="A9" s="209" t="str">
        <f t="shared" si="0"/>
        <v/>
      </c>
      <c r="B9" s="210" t="s">
        <v>220</v>
      </c>
      <c r="C9" s="211" t="s">
        <v>230</v>
      </c>
      <c r="D9" s="239" t="s">
        <v>221</v>
      </c>
      <c r="E9" s="343"/>
      <c r="F9" s="343"/>
      <c r="G9" s="343"/>
      <c r="H9" s="343" t="s">
        <v>260</v>
      </c>
      <c r="I9" s="343"/>
      <c r="J9" s="240" t="str">
        <f t="shared" si="1"/>
        <v xml:space="preserve">
I.S. EN  13203-6
</v>
      </c>
    </row>
    <row r="10" spans="1:14" ht="41.25">
      <c r="A10" s="209" t="str">
        <f t="shared" si="0"/>
        <v/>
      </c>
      <c r="B10" s="210" t="s">
        <v>231</v>
      </c>
      <c r="C10" s="211" t="s">
        <v>230</v>
      </c>
      <c r="D10" s="239" t="s">
        <v>221</v>
      </c>
      <c r="E10" s="343"/>
      <c r="F10" s="343"/>
      <c r="G10" s="343"/>
      <c r="H10" s="343" t="s">
        <v>260</v>
      </c>
      <c r="I10" s="343"/>
      <c r="J10" s="240" t="str">
        <f t="shared" si="1"/>
        <v xml:space="preserve">
I.S. EN  13203-6
</v>
      </c>
    </row>
    <row r="11" spans="1:14" ht="41.25">
      <c r="A11" s="209" t="str">
        <f t="shared" si="0"/>
        <v/>
      </c>
      <c r="B11" s="210" t="s">
        <v>205</v>
      </c>
      <c r="C11" s="211" t="s">
        <v>218</v>
      </c>
      <c r="D11" s="239" t="s">
        <v>232</v>
      </c>
      <c r="E11" s="343"/>
      <c r="F11" s="343" t="s">
        <v>645</v>
      </c>
      <c r="G11" s="343" t="s">
        <v>651</v>
      </c>
      <c r="H11" s="343"/>
      <c r="I11" s="343"/>
      <c r="J11" s="240" t="str">
        <f t="shared" si="1"/>
        <v xml:space="preserve">
I.S. EN 14511
I.S. EN 255-3
</v>
      </c>
    </row>
    <row r="12" spans="1:14" ht="41.25">
      <c r="A12" s="209" t="str">
        <f t="shared" si="0"/>
        <v/>
      </c>
      <c r="B12" s="210" t="s">
        <v>220</v>
      </c>
      <c r="C12" s="211" t="s">
        <v>218</v>
      </c>
      <c r="D12" s="239" t="s">
        <v>232</v>
      </c>
      <c r="E12" s="343"/>
      <c r="F12" s="343" t="s">
        <v>645</v>
      </c>
      <c r="G12" s="343" t="s">
        <v>651</v>
      </c>
      <c r="H12" s="343"/>
      <c r="I12" s="343"/>
      <c r="J12" s="240" t="str">
        <f t="shared" si="1"/>
        <v xml:space="preserve">
I.S. EN 14511
I.S. EN 255-3
</v>
      </c>
    </row>
    <row r="13" spans="1:14" ht="41.25">
      <c r="A13" s="209" t="str">
        <f t="shared" si="0"/>
        <v/>
      </c>
      <c r="B13" s="210" t="s">
        <v>231</v>
      </c>
      <c r="C13" s="211" t="s">
        <v>218</v>
      </c>
      <c r="D13" s="239" t="s">
        <v>232</v>
      </c>
      <c r="E13" s="343"/>
      <c r="F13" s="343" t="s">
        <v>645</v>
      </c>
      <c r="G13" s="343" t="s">
        <v>651</v>
      </c>
      <c r="H13" s="343"/>
      <c r="I13" s="343"/>
      <c r="J13" s="240" t="str">
        <f t="shared" si="1"/>
        <v xml:space="preserve">
I.S. EN 14511
I.S. EN 255-3
</v>
      </c>
    </row>
    <row r="14" spans="1:14" ht="41.25">
      <c r="A14" s="209" t="str">
        <f t="shared" si="0"/>
        <v/>
      </c>
      <c r="B14" s="210" t="s">
        <v>242</v>
      </c>
      <c r="C14" s="211" t="s">
        <v>218</v>
      </c>
      <c r="D14" s="239" t="s">
        <v>232</v>
      </c>
      <c r="E14" s="343"/>
      <c r="F14" s="343" t="s">
        <v>645</v>
      </c>
      <c r="G14" s="343" t="s">
        <v>651</v>
      </c>
      <c r="H14" s="343"/>
      <c r="I14" s="343"/>
      <c r="J14" s="240" t="str">
        <f t="shared" si="1"/>
        <v xml:space="preserve">
I.S. EN 14511
I.S. EN 255-3
</v>
      </c>
    </row>
    <row r="15" spans="1:14" ht="41.25">
      <c r="A15" s="209" t="str">
        <f t="shared" si="0"/>
        <v/>
      </c>
      <c r="B15" s="210" t="s">
        <v>250</v>
      </c>
      <c r="C15" s="211" t="s">
        <v>218</v>
      </c>
      <c r="D15" s="239" t="s">
        <v>232</v>
      </c>
      <c r="E15" s="343"/>
      <c r="F15" s="343" t="s">
        <v>645</v>
      </c>
      <c r="G15" s="343"/>
      <c r="H15" s="343"/>
      <c r="I15" s="343"/>
      <c r="J15" s="240" t="str">
        <f t="shared" si="1"/>
        <v xml:space="preserve">
I.S. EN 14511
</v>
      </c>
    </row>
    <row r="16" spans="1:14" ht="24" customHeight="1">
      <c r="A16" s="222"/>
      <c r="B16" s="325" t="str">
        <f>VLOOKUP(1,$A$3:$P$15,2,FALSE)</f>
        <v>Air to Water</v>
      </c>
      <c r="C16" s="325" t="str">
        <f>VLOOKUP(1,$A$3:$P$15,3,FALSE)</f>
        <v>Electricity</v>
      </c>
      <c r="D16" s="325" t="str">
        <f>VLOOKUP(1,$A$3:$P$15,4,FALSE)</f>
        <v>Ecodesign applies and/or ecodesign data available</v>
      </c>
      <c r="E16" s="738" t="s">
        <v>646</v>
      </c>
      <c r="F16" s="739"/>
      <c r="G16" s="739"/>
      <c r="H16" s="739"/>
      <c r="I16" s="740"/>
      <c r="J16" s="324" t="str">
        <f>VLOOKUP(1,$A$3:$P$15,10,FALSE)</f>
        <v>I.S. EN 16147
I.S. EN 14825/14511</v>
      </c>
    </row>
    <row r="17" spans="1:4" ht="24" customHeight="1">
      <c r="A17" s="222" t="str">
        <f>IF(A18&lt;&gt;"",A18,IF(A19&lt;&gt;"",A19,A20))</f>
        <v>Valid water heat pump type selected.</v>
      </c>
      <c r="B17" s="223"/>
      <c r="C17" s="223"/>
      <c r="D17" s="223"/>
    </row>
    <row r="18" spans="1:4" ht="24" customHeight="1">
      <c r="A18" s="222" t="str">
        <f>E60</f>
        <v/>
      </c>
      <c r="B18" s="223"/>
      <c r="C18" s="223"/>
      <c r="D18" s="223"/>
    </row>
    <row r="19" spans="1:4" ht="24" customHeight="1">
      <c r="A19" s="222" t="str">
        <f>IF(SUM(A3:A15)&lt;&gt;1,"ERROR: Invalid water heating heat pump type selected. See allowable options in 'water standards ID' tab","")</f>
        <v/>
      </c>
      <c r="B19" s="223"/>
      <c r="C19" s="223"/>
      <c r="D19" s="223"/>
    </row>
    <row r="20" spans="1:4" ht="24" customHeight="1">
      <c r="A20" s="645" t="s">
        <v>652</v>
      </c>
    </row>
    <row r="21" spans="1:4" ht="24" customHeight="1">
      <c r="A21" s="222"/>
    </row>
    <row r="22" spans="1:4" ht="24" customHeight="1">
      <c r="A22" s="222"/>
    </row>
    <row r="49" spans="1:29" ht="24" customHeight="1" thickBot="1"/>
    <row r="50" spans="1:29" s="80" customFormat="1" ht="39" thickBot="1">
      <c r="A50" s="335" t="s">
        <v>429</v>
      </c>
      <c r="B50" s="336" t="s">
        <v>430</v>
      </c>
      <c r="C50" s="336" t="s">
        <v>431</v>
      </c>
      <c r="D50" s="336" t="s">
        <v>432</v>
      </c>
      <c r="E50" s="337"/>
      <c r="F50" s="337"/>
      <c r="G50" s="337"/>
      <c r="H50" s="337"/>
      <c r="I50" s="338"/>
      <c r="J50" s="82"/>
      <c r="L50" s="82"/>
      <c r="AC50" s="82"/>
    </row>
    <row r="51" spans="1:29" s="80" customFormat="1" ht="69.599999999999994" customHeight="1">
      <c r="A51" s="276" t="s">
        <v>584</v>
      </c>
      <c r="B51" s="276" t="str">
        <f>RIGHT(B50)</f>
        <v>1</v>
      </c>
      <c r="C51" s="276" t="str">
        <f>RIGHT(C50)</f>
        <v>2</v>
      </c>
      <c r="D51" s="276" t="str">
        <f>RIGHT(D50)</f>
        <v>3</v>
      </c>
      <c r="E51" s="276" t="s">
        <v>434</v>
      </c>
      <c r="F51" s="277" t="s">
        <v>177</v>
      </c>
      <c r="G51" s="277" t="s">
        <v>178</v>
      </c>
      <c r="H51" s="277" t="s">
        <v>435</v>
      </c>
      <c r="I51" s="82"/>
      <c r="J51" s="82"/>
      <c r="L51" s="82"/>
      <c r="AC51" s="82"/>
    </row>
    <row r="52" spans="1:29" s="80" customFormat="1" ht="31.5">
      <c r="A52" s="282" t="str">
        <f>HP_1!A65</f>
        <v>Type of heat pump</v>
      </c>
      <c r="B52" s="320" t="str">
        <f>HP_1!B65</f>
        <v>Air to Water</v>
      </c>
      <c r="C52" s="279" t="str" cm="1">
        <f t="array" aca="1" ref="C52" ca="1">INDIRECT($F52&amp;C$51&amp;"!"&amp;$G52)</f>
        <v>Air to Water</v>
      </c>
      <c r="D52" s="279" t="str" cm="1">
        <f t="array" aca="1" ref="D52" ca="1">INDIRECT($F52&amp;D$51&amp;"!"&amp;$G52)</f>
        <v>Air to Water</v>
      </c>
      <c r="E52" s="295" t="str">
        <f>VLOOKUP(A52,A52:D52,$N$1+1,FALSE)</f>
        <v>Air to Water</v>
      </c>
      <c r="F52" s="280" t="str">
        <f ca="1">LEFT(H52,FIND("1",H52)-1)</f>
        <v>HP_</v>
      </c>
      <c r="G52" s="280" t="str">
        <f ca="1">RIGHT(H52,LEN(H52)-FIND("!",H52))</f>
        <v>B65</v>
      </c>
      <c r="H52" s="281" t="str">
        <f ca="1">SUBSTITUTE( _xlfn.FORMULATEXT(B52),"=","")</f>
        <v>HP_1!B65</v>
      </c>
      <c r="L52" s="82"/>
      <c r="AC52" s="82"/>
    </row>
    <row r="53" spans="1:29" s="80" customFormat="1" ht="78.75">
      <c r="A53" s="282" t="str">
        <f>HP_1!D10</f>
        <v xml:space="preserve">Is this a Low Temperature Heat Pump? </v>
      </c>
      <c r="B53" s="322" t="str">
        <f>HP_1!G10</f>
        <v>Not low temperature heat pump</v>
      </c>
      <c r="C53" s="279" t="str" cm="1">
        <f t="array" aca="1" ref="C53" ca="1">INDIRECT($F53&amp;C$51&amp;"!"&amp;$G53)</f>
        <v>Not low temperature heat pump</v>
      </c>
      <c r="D53" s="279" t="str" cm="1">
        <f t="array" aca="1" ref="D53" ca="1">INDIRECT($F53&amp;D$51&amp;"!"&amp;$G53)</f>
        <v>Not low temperature heat pump</v>
      </c>
      <c r="E53" s="295" t="str">
        <f t="shared" ref="E53:E59" si="2">VLOOKUP(A53,A53:D53,$N$1+1,FALSE)</f>
        <v>Not low temperature heat pump</v>
      </c>
      <c r="F53" s="280" t="str">
        <f ca="1">LEFT(H53,FIND("1",H53)-1)</f>
        <v>HP_</v>
      </c>
      <c r="G53" s="280" t="str">
        <f ca="1">RIGHT(H53,LEN(H53)-FIND("!",H53))</f>
        <v>G10</v>
      </c>
      <c r="H53" s="281" t="str">
        <f ca="1">SUBSTITUTE( _xlfn.FORMULATEXT(B53),"=","")</f>
        <v>HP_1!G10</v>
      </c>
      <c r="L53" s="82"/>
      <c r="AC53" s="82"/>
    </row>
    <row r="54" spans="1:29" s="80" customFormat="1" ht="60.6" customHeight="1">
      <c r="A54" s="282" t="str">
        <f>HP_1!D63</f>
        <v xml:space="preserve">Is this heat pump electric or gas (GAHP)? </v>
      </c>
      <c r="B54" s="321" t="str">
        <f>HP_1!G63</f>
        <v>Electricity</v>
      </c>
      <c r="C54" s="279" t="str" cm="1">
        <f t="array" aca="1" ref="C54" ca="1">INDIRECT($F54&amp;C$51&amp;"!"&amp;$G54)</f>
        <v>Electricity</v>
      </c>
      <c r="D54" s="279" t="str" cm="1">
        <f t="array" aca="1" ref="D54" ca="1">INDIRECT($F54&amp;D$51&amp;"!"&amp;$G54)</f>
        <v>Electricity</v>
      </c>
      <c r="E54" s="295" t="str">
        <f t="shared" si="2"/>
        <v>Electricity</v>
      </c>
      <c r="F54" s="280" t="str">
        <f t="shared" ref="F54:F56" ca="1" si="3">LEFT(H54,FIND("1",H54)-1)</f>
        <v>HP_</v>
      </c>
      <c r="G54" s="280" t="str">
        <f t="shared" ref="G54:G56" ca="1" si="4">RIGHT(H54,LEN(H54)-FIND("!",H54))</f>
        <v>G63</v>
      </c>
      <c r="H54" s="281" t="str">
        <f t="shared" ref="H54:H56" ca="1" si="5">SUBSTITUTE( _xlfn.FORMULATEXT(B54),"=","")</f>
        <v>HP_1!G63</v>
      </c>
      <c r="L54" s="82"/>
      <c r="AC54" s="82"/>
    </row>
    <row r="55" spans="1:29" s="80" customFormat="1" ht="110.25">
      <c r="A55" s="282" t="str">
        <f>HP_1!D64</f>
        <v>What is the status of this heat pump regarding Ecodesign data?</v>
      </c>
      <c r="B55" s="322" t="str">
        <f>HP_1!G64</f>
        <v>Ecodesign applies and/or ecodesign data available</v>
      </c>
      <c r="C55" s="279" t="str" cm="1">
        <f t="array" aca="1" ref="C55" ca="1">INDIRECT($F55&amp;C$51&amp;"!"&amp;$G55)</f>
        <v>Ecodesign applies and/or ecodesign data available</v>
      </c>
      <c r="D55" s="279" t="str" cm="1">
        <f t="array" aca="1" ref="D55" ca="1">INDIRECT($F55&amp;D$51&amp;"!"&amp;$G55)</f>
        <v>Ecodesign applies and/or ecodesign data available</v>
      </c>
      <c r="E55" s="295" t="str">
        <f t="shared" si="2"/>
        <v>Ecodesign applies and/or ecodesign data available</v>
      </c>
      <c r="F55" s="280" t="str">
        <f t="shared" ca="1" si="3"/>
        <v>HP_</v>
      </c>
      <c r="G55" s="280" t="str">
        <f t="shared" ca="1" si="4"/>
        <v>G64</v>
      </c>
      <c r="H55" s="281" t="str">
        <f t="shared" ca="1" si="5"/>
        <v>HP_1!G64</v>
      </c>
      <c r="L55" s="82"/>
      <c r="AC55" s="82"/>
    </row>
    <row r="56" spans="1:29" s="80" customFormat="1" ht="63">
      <c r="A56" s="282" t="str">
        <f>HP_1!A68</f>
        <v>Water Heating Test Standard</v>
      </c>
      <c r="B56" s="278" t="str">
        <f>HP_1!B68</f>
        <v>I.S. EN 16147</v>
      </c>
      <c r="C56" s="279" t="str" cm="1">
        <f t="array" aca="1" ref="C56" ca="1">INDIRECT($F56&amp;C$51&amp;"!"&amp;$G56)</f>
        <v>I.S. EN 16147</v>
      </c>
      <c r="D56" s="279" t="str" cm="1">
        <f t="array" aca="1" ref="D56" ca="1">INDIRECT($F56&amp;D$51&amp;"!"&amp;$G56)</f>
        <v>I.S. EN 16147</v>
      </c>
      <c r="E56" s="295" t="str">
        <f t="shared" si="2"/>
        <v>I.S. EN 16147</v>
      </c>
      <c r="F56" s="280" t="str">
        <f t="shared" ca="1" si="3"/>
        <v>HP_</v>
      </c>
      <c r="G56" s="280" t="str">
        <f t="shared" ca="1" si="4"/>
        <v>B68</v>
      </c>
      <c r="H56" s="281" t="str">
        <f t="shared" ca="1" si="5"/>
        <v>HP_1!B68</v>
      </c>
      <c r="L56" s="82"/>
      <c r="AC56" s="82"/>
    </row>
    <row r="57" spans="1:29" ht="53.45" customHeight="1">
      <c r="A57" s="282" t="str">
        <f>HP_1!O10</f>
        <v>Space Heating served by HP</v>
      </c>
      <c r="B57" s="330" t="b">
        <f>HP_1!N10</f>
        <v>1</v>
      </c>
      <c r="C57" s="331" t="b" cm="1">
        <f t="array" aca="1" ref="C57" ca="1">INDIRECT($F57&amp;C$51&amp;"!"&amp;$G57)</f>
        <v>1</v>
      </c>
      <c r="D57" s="331" t="b" cm="1">
        <f t="array" aca="1" ref="D57" ca="1">INDIRECT($F57&amp;D$51&amp;"!"&amp;$G57)</f>
        <v>1</v>
      </c>
      <c r="E57" s="295" t="b">
        <f t="shared" si="2"/>
        <v>1</v>
      </c>
      <c r="F57" s="332" t="str">
        <f ca="1">LEFT(H57,FIND("1",H57)-1)</f>
        <v>HP_</v>
      </c>
      <c r="G57" s="332" t="str">
        <f ca="1">RIGHT(H57,LEN(H57)-FIND("!",H57))</f>
        <v>N10</v>
      </c>
      <c r="H57" s="333" t="str">
        <f ca="1">SUBSTITUTE( _xlfn.FORMULATEXT(B57),"=","")</f>
        <v>HP_1!N10</v>
      </c>
      <c r="I57" s="198"/>
      <c r="J57" s="207"/>
      <c r="K57" s="236"/>
    </row>
    <row r="58" spans="1:29" ht="72" customHeight="1">
      <c r="A58" s="282" t="str">
        <f>HP_1!O11</f>
        <v>Hot Water served by HP</v>
      </c>
      <c r="B58" s="330" t="b">
        <f>HP_1!N11</f>
        <v>1</v>
      </c>
      <c r="C58" s="331" t="b" cm="1">
        <f t="array" aca="1" ref="C58" ca="1">INDIRECT($F58&amp;C$51&amp;"!"&amp;$G58)</f>
        <v>1</v>
      </c>
      <c r="D58" s="331" t="b" cm="1">
        <f t="array" aca="1" ref="D58" ca="1">INDIRECT($F58&amp;D$51&amp;"!"&amp;$G58)</f>
        <v>1</v>
      </c>
      <c r="E58" s="295" t="b">
        <f t="shared" si="2"/>
        <v>1</v>
      </c>
      <c r="F58" s="332" t="str">
        <f t="shared" ref="F58:F59" ca="1" si="6">LEFT(H58,FIND("1",H58)-1)</f>
        <v>HP_</v>
      </c>
      <c r="G58" s="332" t="str">
        <f t="shared" ref="G58:G59" ca="1" si="7">RIGHT(H58,LEN(H58)-FIND("!",H58))</f>
        <v>N11</v>
      </c>
      <c r="H58" s="333" t="str">
        <f t="shared" ref="H58:H59" ca="1" si="8">SUBSTITUTE( _xlfn.FORMULATEXT(B58),"=","")</f>
        <v>HP_1!N11</v>
      </c>
      <c r="I58" s="198"/>
      <c r="J58" s="207"/>
      <c r="K58" s="236"/>
    </row>
    <row r="59" spans="1:29" ht="65.45" customHeight="1">
      <c r="A59" s="282" t="str">
        <f>HP_1!O12</f>
        <v>Same HP for Space and Water Heating</v>
      </c>
      <c r="B59" s="330" t="b">
        <f>HP_1!N12</f>
        <v>1</v>
      </c>
      <c r="C59" s="331" t="b" cm="1">
        <f t="array" aca="1" ref="C59" ca="1">INDIRECT($F59&amp;C$51&amp;"!"&amp;$G59)</f>
        <v>1</v>
      </c>
      <c r="D59" s="331" t="b" cm="1">
        <f t="array" aca="1" ref="D59" ca="1">INDIRECT($F59&amp;D$51&amp;"!"&amp;$G59)</f>
        <v>1</v>
      </c>
      <c r="E59" s="295" t="b">
        <f t="shared" si="2"/>
        <v>1</v>
      </c>
      <c r="F59" s="332" t="str">
        <f t="shared" ca="1" si="6"/>
        <v>HP_</v>
      </c>
      <c r="G59" s="332" t="str">
        <f t="shared" ca="1" si="7"/>
        <v>N12</v>
      </c>
      <c r="H59" s="333" t="str">
        <f t="shared" ca="1" si="8"/>
        <v>HP_1!N12</v>
      </c>
      <c r="I59" s="198"/>
      <c r="J59" s="207"/>
      <c r="K59" s="236"/>
    </row>
    <row r="60" spans="1:29" ht="141" customHeight="1">
      <c r="A60" s="282" t="s">
        <v>653</v>
      </c>
      <c r="B60" s="330" t="str">
        <f>SpaceStandardsID_1!A32</f>
        <v/>
      </c>
      <c r="C60" s="331" t="str" cm="1">
        <f t="array" aca="1" ref="C60" ca="1">INDIRECT($F60&amp;C$51&amp;"!"&amp;$G60)</f>
        <v/>
      </c>
      <c r="D60" s="331" t="str" cm="1">
        <f t="array" aca="1" ref="D60" ca="1">INDIRECT($F60&amp;D$51&amp;"!"&amp;$G60)</f>
        <v/>
      </c>
      <c r="E60" s="295" t="str">
        <f t="shared" ref="E60" si="9">VLOOKUP(A60,A60:D60,$N$1+1,FALSE)</f>
        <v/>
      </c>
      <c r="F60" s="332" t="str">
        <f t="shared" ref="F60" ca="1" si="10">LEFT(H60,FIND("1",H60)-1)</f>
        <v>SpaceStandardsID_</v>
      </c>
      <c r="G60" s="332" t="str">
        <f t="shared" ref="G60" ca="1" si="11">RIGHT(H60,LEN(H60)-FIND("!",H60))</f>
        <v>A32</v>
      </c>
      <c r="H60" s="333" t="str">
        <f t="shared" ref="H60" ca="1" si="12">SUBSTITUTE( _xlfn.FORMULATEXT(B60),"=","")</f>
        <v>SpaceStandardsID_1!A32</v>
      </c>
    </row>
  </sheetData>
  <sheetProtection algorithmName="SHA-512" hashValue="UNIAjTBwukTlHf3Ijtca8olLc0nQn2v/ULNrR3LrANMWMtUhdQbIMmtJmZ8K3KvtSbAV/taTyvJxMR3mygIkFg==" saltValue="9ff2uMROfAEMaVXmtpZ8oA==" spinCount="100000" sheet="1" objects="1" scenarios="1"/>
  <autoFilter ref="A2:J20" xr:uid="{3A978C5E-8AA7-4C8C-8395-C11E814AEE32}"/>
  <mergeCells count="3">
    <mergeCell ref="A1:C1"/>
    <mergeCell ref="E1:I1"/>
    <mergeCell ref="E16:I16"/>
  </mergeCells>
  <phoneticPr fontId="7"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A1F528-2FC9-4DBF-B3F3-CE9DB072C7A6}">
          <x14:formula1>
            <xm:f>HP_1!$T$2:$T$3</xm:f>
          </x14:formula1>
          <xm:sqref>D3:D15</xm:sqref>
        </x14:dataValidation>
        <x14:dataValidation type="list" allowBlank="1" showInputMessage="1" showErrorMessage="1" xr:uid="{80A9B81A-4DDD-44C3-BFD2-EF10A40B3883}">
          <x14:formula1>
            <xm:f>HP_1!$Q$2:$Q$3</xm:f>
          </x14:formula1>
          <xm:sqref>C3:C15</xm:sqref>
        </x14:dataValidation>
        <x14:dataValidation type="list" allowBlank="1" showInputMessage="1" showErrorMessage="1" xr:uid="{3CD17B9C-4F5C-47FD-91A2-6DE3956A22FC}">
          <x14:formula1>
            <xm:f>HP_1!$S$1:$S$8</xm:f>
          </x14:formula1>
          <xm:sqref>B3:B15</xm:sqref>
        </x14:dataValidation>
        <x14:dataValidation type="list" allowBlank="1" showInputMessage="1" showErrorMessage="1" xr:uid="{8E426DBF-43E5-4464-A3DE-96200EBA4A76}">
          <x14:formula1>
            <xm:f>HP_1!$N$1:$N$7</xm:f>
          </x14:formula1>
          <xm:sqref>E3:I15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8C39-D381-4531-87CF-A746E5B44F96}">
  <dimension ref="A1:AC60"/>
  <sheetViews>
    <sheetView zoomScale="55" zoomScaleNormal="55" workbookViewId="0">
      <selection activeCell="H12" sqref="H12"/>
    </sheetView>
  </sheetViews>
  <sheetFormatPr defaultColWidth="8.85546875" defaultRowHeight="24" customHeight="1"/>
  <cols>
    <col min="1" max="1" width="12.5703125" style="198" customWidth="1"/>
    <col min="2" max="2" width="25.5703125" style="198" bestFit="1" customWidth="1"/>
    <col min="3" max="3" width="18.5703125" style="198" bestFit="1" customWidth="1"/>
    <col min="4" max="4" width="84.85546875" style="198" customWidth="1"/>
    <col min="5" max="6" width="12.42578125" style="198" bestFit="1" customWidth="1"/>
    <col min="7" max="7" width="11.85546875" style="198" bestFit="1" customWidth="1"/>
    <col min="8" max="8" width="14.5703125" style="198" customWidth="1"/>
    <col min="9" max="9" width="18.5703125" style="207" bestFit="1" customWidth="1"/>
    <col min="10" max="10" width="27.5703125" style="208" customWidth="1"/>
    <col min="11" max="16384" width="8.85546875" style="198"/>
  </cols>
  <sheetData>
    <row r="1" spans="1:14" ht="133.35" customHeight="1" thickBot="1">
      <c r="A1" s="727" t="s">
        <v>648</v>
      </c>
      <c r="B1" s="728"/>
      <c r="C1" s="728"/>
      <c r="D1" s="197" t="str">
        <f ca="1">"Diagnostics cell: 
"&amp;E52&amp;"
"
&amp;E54&amp;"
"&amp;E55&amp;"
"&amp;E56</f>
        <v>Diagnostics cell: 
Air to Water
Electricity
Ecodesign applies and/or ecodesign data available
I.S. EN 16147</v>
      </c>
      <c r="E1" s="735" t="s">
        <v>649</v>
      </c>
      <c r="F1" s="736"/>
      <c r="G1" s="736"/>
      <c r="H1" s="736"/>
      <c r="I1" s="737"/>
      <c r="J1" s="199" t="s">
        <v>650</v>
      </c>
      <c r="M1" s="323" t="s">
        <v>200</v>
      </c>
      <c r="N1" s="259">
        <v>2</v>
      </c>
    </row>
    <row r="2" spans="1:14" s="207" customFormat="1" ht="38.1" customHeight="1" thickBot="1">
      <c r="A2" s="200" t="s">
        <v>641</v>
      </c>
      <c r="B2" s="201" t="s">
        <v>281</v>
      </c>
      <c r="C2" s="202" t="s">
        <v>642</v>
      </c>
      <c r="D2" s="238" t="s">
        <v>644</v>
      </c>
      <c r="E2" s="339" t="s">
        <v>249</v>
      </c>
      <c r="F2" s="340" t="s">
        <v>645</v>
      </c>
      <c r="G2" s="340" t="s">
        <v>651</v>
      </c>
      <c r="H2" s="341" t="s">
        <v>260</v>
      </c>
      <c r="I2" s="342" t="s">
        <v>266</v>
      </c>
      <c r="J2" s="208"/>
    </row>
    <row r="3" spans="1:14" ht="41.25">
      <c r="A3" s="209">
        <f ca="1">IF(AND($E$52=B3,$E$54=C3,$E$55=D3 ),1,"")</f>
        <v>1</v>
      </c>
      <c r="B3" s="210" t="s">
        <v>205</v>
      </c>
      <c r="C3" s="211" t="s">
        <v>218</v>
      </c>
      <c r="D3" s="239" t="s">
        <v>221</v>
      </c>
      <c r="E3" s="343" t="s">
        <v>249</v>
      </c>
      <c r="F3" s="343"/>
      <c r="G3" s="343"/>
      <c r="H3" s="343"/>
      <c r="I3" s="343" t="s">
        <v>266</v>
      </c>
      <c r="J3" s="240" t="str">
        <f>E3&amp;CHAR(10)&amp;F3&amp;CHAR(10)&amp;G3&amp;CHAR(10)&amp;H3&amp;CHAR(10)&amp;I3</f>
        <v>I.S. EN 16147
I.S. EN 14825/14511</v>
      </c>
    </row>
    <row r="4" spans="1:14" ht="41.25">
      <c r="A4" s="209" t="str">
        <f t="shared" ref="A4:A15" ca="1" si="0">IF(AND($E$52=B4,$E$54=C4,$E$55=D4 ),1,"")</f>
        <v/>
      </c>
      <c r="B4" s="210" t="s">
        <v>220</v>
      </c>
      <c r="C4" s="211" t="s">
        <v>218</v>
      </c>
      <c r="D4" s="239" t="s">
        <v>221</v>
      </c>
      <c r="E4" s="343" t="s">
        <v>249</v>
      </c>
      <c r="F4" s="343"/>
      <c r="G4" s="343"/>
      <c r="H4" s="343"/>
      <c r="I4" s="343" t="s">
        <v>266</v>
      </c>
      <c r="J4" s="240" t="str">
        <f t="shared" ref="J4:J15" si="1">E4&amp;CHAR(10)&amp;F4&amp;CHAR(10)&amp;G4&amp;CHAR(10)&amp;H4&amp;CHAR(10)&amp;I4</f>
        <v>I.S. EN 16147
I.S. EN 14825/14511</v>
      </c>
    </row>
    <row r="5" spans="1:14" ht="41.25">
      <c r="A5" s="209" t="str">
        <f t="shared" ca="1" si="0"/>
        <v/>
      </c>
      <c r="B5" s="210" t="s">
        <v>231</v>
      </c>
      <c r="C5" s="211" t="s">
        <v>218</v>
      </c>
      <c r="D5" s="239" t="s">
        <v>221</v>
      </c>
      <c r="E5" s="343" t="s">
        <v>249</v>
      </c>
      <c r="F5" s="343"/>
      <c r="G5" s="343"/>
      <c r="H5" s="343"/>
      <c r="I5" s="343" t="s">
        <v>266</v>
      </c>
      <c r="J5" s="240" t="str">
        <f t="shared" si="1"/>
        <v>I.S. EN 16147
I.S. EN 14825/14511</v>
      </c>
    </row>
    <row r="6" spans="1:14" ht="41.25">
      <c r="A6" s="209" t="str">
        <f t="shared" ca="1" si="0"/>
        <v/>
      </c>
      <c r="B6" s="210" t="s">
        <v>242</v>
      </c>
      <c r="C6" s="211" t="s">
        <v>218</v>
      </c>
      <c r="D6" s="239" t="s">
        <v>221</v>
      </c>
      <c r="E6" s="343" t="s">
        <v>249</v>
      </c>
      <c r="F6" s="343"/>
      <c r="G6" s="343"/>
      <c r="H6" s="343"/>
      <c r="I6" s="343" t="s">
        <v>266</v>
      </c>
      <c r="J6" s="240" t="str">
        <f t="shared" si="1"/>
        <v>I.S. EN 16147
I.S. EN 14825/14511</v>
      </c>
    </row>
    <row r="7" spans="1:14" ht="41.25">
      <c r="A7" s="209" t="str">
        <f t="shared" ca="1" si="0"/>
        <v/>
      </c>
      <c r="B7" s="210" t="s">
        <v>250</v>
      </c>
      <c r="C7" s="211" t="s">
        <v>218</v>
      </c>
      <c r="D7" s="239" t="s">
        <v>221</v>
      </c>
      <c r="E7" s="343" t="s">
        <v>249</v>
      </c>
      <c r="F7" s="343"/>
      <c r="G7" s="343"/>
      <c r="H7" s="343"/>
      <c r="I7" s="343" t="s">
        <v>266</v>
      </c>
      <c r="J7" s="240" t="str">
        <f t="shared" si="1"/>
        <v>I.S. EN 16147
I.S. EN 14825/14511</v>
      </c>
    </row>
    <row r="8" spans="1:14" ht="41.25">
      <c r="A8" s="209" t="str">
        <f t="shared" ca="1" si="0"/>
        <v/>
      </c>
      <c r="B8" s="210" t="s">
        <v>205</v>
      </c>
      <c r="C8" s="211" t="s">
        <v>230</v>
      </c>
      <c r="D8" s="239" t="s">
        <v>221</v>
      </c>
      <c r="E8" s="343"/>
      <c r="F8" s="343"/>
      <c r="G8" s="343"/>
      <c r="H8" s="343" t="s">
        <v>260</v>
      </c>
      <c r="I8" s="343"/>
      <c r="J8" s="240" t="str">
        <f t="shared" si="1"/>
        <v xml:space="preserve">
I.S. EN  13203-6
</v>
      </c>
    </row>
    <row r="9" spans="1:14" ht="41.25">
      <c r="A9" s="209" t="str">
        <f t="shared" ca="1" si="0"/>
        <v/>
      </c>
      <c r="B9" s="210" t="s">
        <v>220</v>
      </c>
      <c r="C9" s="211" t="s">
        <v>230</v>
      </c>
      <c r="D9" s="239" t="s">
        <v>221</v>
      </c>
      <c r="E9" s="343"/>
      <c r="F9" s="343"/>
      <c r="G9" s="343"/>
      <c r="H9" s="343" t="s">
        <v>260</v>
      </c>
      <c r="I9" s="343"/>
      <c r="J9" s="240" t="str">
        <f t="shared" si="1"/>
        <v xml:space="preserve">
I.S. EN  13203-6
</v>
      </c>
    </row>
    <row r="10" spans="1:14" ht="41.25">
      <c r="A10" s="209" t="str">
        <f t="shared" ca="1" si="0"/>
        <v/>
      </c>
      <c r="B10" s="210" t="s">
        <v>231</v>
      </c>
      <c r="C10" s="211" t="s">
        <v>230</v>
      </c>
      <c r="D10" s="239" t="s">
        <v>221</v>
      </c>
      <c r="E10" s="343"/>
      <c r="F10" s="343"/>
      <c r="G10" s="343"/>
      <c r="H10" s="343" t="s">
        <v>260</v>
      </c>
      <c r="I10" s="343"/>
      <c r="J10" s="240" t="str">
        <f t="shared" si="1"/>
        <v xml:space="preserve">
I.S. EN  13203-6
</v>
      </c>
    </row>
    <row r="11" spans="1:14" ht="41.25">
      <c r="A11" s="209" t="str">
        <f t="shared" ca="1" si="0"/>
        <v/>
      </c>
      <c r="B11" s="210" t="s">
        <v>205</v>
      </c>
      <c r="C11" s="211" t="s">
        <v>218</v>
      </c>
      <c r="D11" s="239" t="s">
        <v>232</v>
      </c>
      <c r="E11" s="343"/>
      <c r="F11" s="343" t="s">
        <v>645</v>
      </c>
      <c r="G11" s="343" t="s">
        <v>651</v>
      </c>
      <c r="H11" s="343"/>
      <c r="I11" s="343"/>
      <c r="J11" s="240" t="str">
        <f t="shared" si="1"/>
        <v xml:space="preserve">
I.S. EN 14511
I.S. EN 255-3
</v>
      </c>
    </row>
    <row r="12" spans="1:14" ht="41.25">
      <c r="A12" s="209" t="str">
        <f t="shared" ca="1" si="0"/>
        <v/>
      </c>
      <c r="B12" s="210" t="s">
        <v>220</v>
      </c>
      <c r="C12" s="211" t="s">
        <v>218</v>
      </c>
      <c r="D12" s="239" t="s">
        <v>232</v>
      </c>
      <c r="E12" s="343"/>
      <c r="F12" s="343" t="s">
        <v>645</v>
      </c>
      <c r="G12" s="343" t="s">
        <v>651</v>
      </c>
      <c r="H12" s="343"/>
      <c r="I12" s="343"/>
      <c r="J12" s="240" t="str">
        <f t="shared" si="1"/>
        <v xml:space="preserve">
I.S. EN 14511
I.S. EN 255-3
</v>
      </c>
    </row>
    <row r="13" spans="1:14" ht="41.25">
      <c r="A13" s="209" t="str">
        <f t="shared" ca="1" si="0"/>
        <v/>
      </c>
      <c r="B13" s="210" t="s">
        <v>231</v>
      </c>
      <c r="C13" s="211" t="s">
        <v>218</v>
      </c>
      <c r="D13" s="239" t="s">
        <v>232</v>
      </c>
      <c r="E13" s="343"/>
      <c r="F13" s="343" t="s">
        <v>645</v>
      </c>
      <c r="G13" s="343" t="s">
        <v>651</v>
      </c>
      <c r="H13" s="343"/>
      <c r="I13" s="343"/>
      <c r="J13" s="240" t="str">
        <f t="shared" si="1"/>
        <v xml:space="preserve">
I.S. EN 14511
I.S. EN 255-3
</v>
      </c>
    </row>
    <row r="14" spans="1:14" ht="41.25">
      <c r="A14" s="209" t="str">
        <f t="shared" ca="1" si="0"/>
        <v/>
      </c>
      <c r="B14" s="210" t="s">
        <v>242</v>
      </c>
      <c r="C14" s="211" t="s">
        <v>218</v>
      </c>
      <c r="D14" s="239" t="s">
        <v>232</v>
      </c>
      <c r="E14" s="343"/>
      <c r="F14" s="343" t="s">
        <v>645</v>
      </c>
      <c r="G14" s="343" t="s">
        <v>651</v>
      </c>
      <c r="H14" s="343"/>
      <c r="I14" s="343"/>
      <c r="J14" s="240" t="str">
        <f t="shared" si="1"/>
        <v xml:space="preserve">
I.S. EN 14511
I.S. EN 255-3
</v>
      </c>
    </row>
    <row r="15" spans="1:14" ht="41.25">
      <c r="A15" s="209" t="str">
        <f t="shared" ca="1" si="0"/>
        <v/>
      </c>
      <c r="B15" s="210" t="s">
        <v>250</v>
      </c>
      <c r="C15" s="211" t="s">
        <v>218</v>
      </c>
      <c r="D15" s="239" t="s">
        <v>232</v>
      </c>
      <c r="E15" s="343"/>
      <c r="F15" s="343" t="s">
        <v>645</v>
      </c>
      <c r="G15" s="343"/>
      <c r="H15" s="343"/>
      <c r="I15" s="343"/>
      <c r="J15" s="240" t="str">
        <f t="shared" si="1"/>
        <v xml:space="preserve">
I.S. EN 14511
</v>
      </c>
    </row>
    <row r="16" spans="1:14" ht="24" customHeight="1">
      <c r="A16" s="222"/>
      <c r="B16" s="325" t="str">
        <f ca="1">VLOOKUP(1,$A$3:$P$15,2,FALSE)</f>
        <v>Air to Water</v>
      </c>
      <c r="C16" s="325" t="str">
        <f ca="1">VLOOKUP(1,$A$3:$P$15,3,FALSE)</f>
        <v>Electricity</v>
      </c>
      <c r="D16" s="325" t="str">
        <f ca="1">VLOOKUP(1,$A$3:$P$15,4,FALSE)</f>
        <v>Ecodesign applies and/or ecodesign data available</v>
      </c>
      <c r="E16" s="738" t="s">
        <v>646</v>
      </c>
      <c r="F16" s="739"/>
      <c r="G16" s="739"/>
      <c r="H16" s="739"/>
      <c r="I16" s="740"/>
      <c r="J16" s="324" t="str">
        <f ca="1">VLOOKUP(1,$A$3:$P$15,10,FALSE)</f>
        <v>I.S. EN 16147
I.S. EN 14825/14511</v>
      </c>
    </row>
    <row r="17" spans="1:4" ht="24" customHeight="1">
      <c r="A17" s="222" t="str">
        <f ca="1">IF(A18&lt;&gt;"",A18,IF(A19&lt;&gt;"",A19,A20))</f>
        <v>Valid water heat pump type selected.</v>
      </c>
      <c r="B17" s="223"/>
      <c r="C17" s="223"/>
      <c r="D17" s="223"/>
    </row>
    <row r="18" spans="1:4" ht="24" customHeight="1">
      <c r="A18" s="222" t="str">
        <f ca="1">E60</f>
        <v/>
      </c>
      <c r="B18" s="223"/>
      <c r="C18" s="223"/>
      <c r="D18" s="223"/>
    </row>
    <row r="19" spans="1:4" ht="24" customHeight="1">
      <c r="A19" s="222" t="str">
        <f ca="1">IF(SUM(A3:A15)&lt;&gt;1,"ERROR: Invalid water heating heat pump type selected. See allowable options in 'water standards ID' tab","")</f>
        <v/>
      </c>
      <c r="B19" s="223"/>
      <c r="C19" s="223"/>
      <c r="D19" s="223"/>
    </row>
    <row r="20" spans="1:4" ht="24" customHeight="1">
      <c r="A20" s="645" t="s">
        <v>652</v>
      </c>
    </row>
    <row r="21" spans="1:4" ht="24" customHeight="1">
      <c r="A21" s="222"/>
    </row>
    <row r="22" spans="1:4" ht="24" customHeight="1">
      <c r="A22" s="222"/>
    </row>
    <row r="49" spans="1:29" ht="24" customHeight="1" thickBot="1"/>
    <row r="50" spans="1:29" s="80" customFormat="1" ht="39" thickBot="1">
      <c r="A50" s="335" t="s">
        <v>429</v>
      </c>
      <c r="B50" s="336" t="s">
        <v>430</v>
      </c>
      <c r="C50" s="336" t="s">
        <v>431</v>
      </c>
      <c r="D50" s="336" t="s">
        <v>432</v>
      </c>
      <c r="E50" s="337"/>
      <c r="F50" s="337"/>
      <c r="G50" s="337"/>
      <c r="H50" s="337"/>
      <c r="I50" s="338"/>
      <c r="J50" s="82"/>
      <c r="L50" s="82"/>
      <c r="AC50" s="82"/>
    </row>
    <row r="51" spans="1:29" s="80" customFormat="1" ht="69.599999999999994" customHeight="1">
      <c r="A51" s="276" t="s">
        <v>584</v>
      </c>
      <c r="B51" s="276" t="str">
        <f>RIGHT(B50)</f>
        <v>1</v>
      </c>
      <c r="C51" s="276" t="str">
        <f>RIGHT(C50)</f>
        <v>2</v>
      </c>
      <c r="D51" s="276" t="str">
        <f>RIGHT(D50)</f>
        <v>3</v>
      </c>
      <c r="E51" s="276" t="s">
        <v>434</v>
      </c>
      <c r="F51" s="277" t="s">
        <v>177</v>
      </c>
      <c r="G51" s="277" t="s">
        <v>178</v>
      </c>
      <c r="H51" s="277" t="s">
        <v>435</v>
      </c>
      <c r="I51" s="82"/>
      <c r="J51" s="82"/>
      <c r="L51" s="82"/>
      <c r="AC51" s="82"/>
    </row>
    <row r="52" spans="1:29" s="80" customFormat="1" ht="31.5">
      <c r="A52" s="282" t="str">
        <f>HP_1!A65</f>
        <v>Type of heat pump</v>
      </c>
      <c r="B52" s="320" t="str">
        <f>HP_1!B65</f>
        <v>Air to Water</v>
      </c>
      <c r="C52" s="279" t="str" cm="1">
        <f t="array" aca="1" ref="C52" ca="1">INDIRECT($F52&amp;C$51&amp;"!"&amp;$G52)</f>
        <v>Air to Water</v>
      </c>
      <c r="D52" s="279" t="str" cm="1">
        <f t="array" aca="1" ref="D52" ca="1">INDIRECT($F52&amp;D$51&amp;"!"&amp;$G52)</f>
        <v>Air to Water</v>
      </c>
      <c r="E52" s="295" t="str">
        <f ca="1">VLOOKUP(A52,A52:D52,$N$1+1,FALSE)</f>
        <v>Air to Water</v>
      </c>
      <c r="F52" s="280" t="str">
        <f ca="1">LEFT(H52,FIND("1",H52)-1)</f>
        <v>HP_</v>
      </c>
      <c r="G52" s="280" t="str">
        <f ca="1">RIGHT(H52,LEN(H52)-FIND("!",H52))</f>
        <v>B65</v>
      </c>
      <c r="H52" s="281" t="str">
        <f ca="1">SUBSTITUTE( _xlfn.FORMULATEXT(B52),"=","")</f>
        <v>HP_1!B65</v>
      </c>
      <c r="L52" s="82"/>
      <c r="AC52" s="82"/>
    </row>
    <row r="53" spans="1:29" s="80" customFormat="1" ht="78.75">
      <c r="A53" s="282" t="str">
        <f>HP_1!D10</f>
        <v xml:space="preserve">Is this a Low Temperature Heat Pump? </v>
      </c>
      <c r="B53" s="322" t="str">
        <f>HP_1!G10</f>
        <v>Not low temperature heat pump</v>
      </c>
      <c r="C53" s="279" t="str" cm="1">
        <f t="array" aca="1" ref="C53" ca="1">INDIRECT($F53&amp;C$51&amp;"!"&amp;$G53)</f>
        <v>Not low temperature heat pump</v>
      </c>
      <c r="D53" s="279" t="str" cm="1">
        <f t="array" aca="1" ref="D53" ca="1">INDIRECT($F53&amp;D$51&amp;"!"&amp;$G53)</f>
        <v>Not low temperature heat pump</v>
      </c>
      <c r="E53" s="295" t="str">
        <f t="shared" ref="E53:E60" ca="1" si="2">VLOOKUP(A53,A53:D53,$N$1+1,FALSE)</f>
        <v>Not low temperature heat pump</v>
      </c>
      <c r="F53" s="280" t="str">
        <f ca="1">LEFT(H53,FIND("1",H53)-1)</f>
        <v>HP_</v>
      </c>
      <c r="G53" s="280" t="str">
        <f ca="1">RIGHT(H53,LEN(H53)-FIND("!",H53))</f>
        <v>G10</v>
      </c>
      <c r="H53" s="281" t="str">
        <f ca="1">SUBSTITUTE( _xlfn.FORMULATEXT(B53),"=","")</f>
        <v>HP_1!G10</v>
      </c>
      <c r="L53" s="82"/>
      <c r="AC53" s="82"/>
    </row>
    <row r="54" spans="1:29" s="80" customFormat="1" ht="60.6" customHeight="1">
      <c r="A54" s="282" t="str">
        <f>HP_1!D63</f>
        <v xml:space="preserve">Is this heat pump electric or gas (GAHP)? </v>
      </c>
      <c r="B54" s="321" t="str">
        <f>HP_1!G63</f>
        <v>Electricity</v>
      </c>
      <c r="C54" s="279" t="str" cm="1">
        <f t="array" aca="1" ref="C54" ca="1">INDIRECT($F54&amp;C$51&amp;"!"&amp;$G54)</f>
        <v>Electricity</v>
      </c>
      <c r="D54" s="279" t="str" cm="1">
        <f t="array" aca="1" ref="D54" ca="1">INDIRECT($F54&amp;D$51&amp;"!"&amp;$G54)</f>
        <v>Electricity</v>
      </c>
      <c r="E54" s="295" t="str">
        <f t="shared" ca="1" si="2"/>
        <v>Electricity</v>
      </c>
      <c r="F54" s="280" t="str">
        <f t="shared" ref="F54:F56" ca="1" si="3">LEFT(H54,FIND("1",H54)-1)</f>
        <v>HP_</v>
      </c>
      <c r="G54" s="280" t="str">
        <f t="shared" ref="G54:G56" ca="1" si="4">RIGHT(H54,LEN(H54)-FIND("!",H54))</f>
        <v>G63</v>
      </c>
      <c r="H54" s="281" t="str">
        <f t="shared" ref="H54:H56" ca="1" si="5">SUBSTITUTE( _xlfn.FORMULATEXT(B54),"=","")</f>
        <v>HP_1!G63</v>
      </c>
      <c r="L54" s="82"/>
      <c r="AC54" s="82"/>
    </row>
    <row r="55" spans="1:29" s="80" customFormat="1" ht="110.25">
      <c r="A55" s="282" t="str">
        <f>HP_1!D64</f>
        <v>What is the status of this heat pump regarding Ecodesign data?</v>
      </c>
      <c r="B55" s="322" t="str">
        <f>HP_1!G64</f>
        <v>Ecodesign applies and/or ecodesign data available</v>
      </c>
      <c r="C55" s="279" t="str" cm="1">
        <f t="array" aca="1" ref="C55" ca="1">INDIRECT($F55&amp;C$51&amp;"!"&amp;$G55)</f>
        <v>Ecodesign applies and/or ecodesign data available</v>
      </c>
      <c r="D55" s="279" t="str" cm="1">
        <f t="array" aca="1" ref="D55" ca="1">INDIRECT($F55&amp;D$51&amp;"!"&amp;$G55)</f>
        <v>Ecodesign applies and/or ecodesign data available</v>
      </c>
      <c r="E55" s="295" t="str">
        <f t="shared" ca="1" si="2"/>
        <v>Ecodesign applies and/or ecodesign data available</v>
      </c>
      <c r="F55" s="280" t="str">
        <f t="shared" ca="1" si="3"/>
        <v>HP_</v>
      </c>
      <c r="G55" s="280" t="str">
        <f t="shared" ca="1" si="4"/>
        <v>G64</v>
      </c>
      <c r="H55" s="281" t="str">
        <f t="shared" ca="1" si="5"/>
        <v>HP_1!G64</v>
      </c>
      <c r="L55" s="82"/>
      <c r="AC55" s="82"/>
    </row>
    <row r="56" spans="1:29" s="80" customFormat="1" ht="63">
      <c r="A56" s="282" t="str">
        <f>HP_1!A68</f>
        <v>Water Heating Test Standard</v>
      </c>
      <c r="B56" s="278" t="str">
        <f>HP_1!B68</f>
        <v>I.S. EN 16147</v>
      </c>
      <c r="C56" s="279" t="str" cm="1">
        <f t="array" aca="1" ref="C56" ca="1">INDIRECT($F56&amp;C$51&amp;"!"&amp;$G56)</f>
        <v>I.S. EN 16147</v>
      </c>
      <c r="D56" s="279" t="str" cm="1">
        <f t="array" aca="1" ref="D56" ca="1">INDIRECT($F56&amp;D$51&amp;"!"&amp;$G56)</f>
        <v>I.S. EN 16147</v>
      </c>
      <c r="E56" s="295" t="str">
        <f t="shared" ca="1" si="2"/>
        <v>I.S. EN 16147</v>
      </c>
      <c r="F56" s="280" t="str">
        <f t="shared" ca="1" si="3"/>
        <v>HP_</v>
      </c>
      <c r="G56" s="280" t="str">
        <f t="shared" ca="1" si="4"/>
        <v>B68</v>
      </c>
      <c r="H56" s="281" t="str">
        <f t="shared" ca="1" si="5"/>
        <v>HP_1!B68</v>
      </c>
      <c r="L56" s="82"/>
      <c r="AC56" s="82"/>
    </row>
    <row r="57" spans="1:29" ht="53.45" customHeight="1">
      <c r="A57" s="282" t="str">
        <f>HP_1!O10</f>
        <v>Space Heating served by HP</v>
      </c>
      <c r="B57" s="330" t="b">
        <f>HP_1!N10</f>
        <v>1</v>
      </c>
      <c r="C57" s="331" t="b" cm="1">
        <f t="array" aca="1" ref="C57" ca="1">INDIRECT($F57&amp;C$51&amp;"!"&amp;$G57)</f>
        <v>1</v>
      </c>
      <c r="D57" s="331" t="b" cm="1">
        <f t="array" aca="1" ref="D57" ca="1">INDIRECT($F57&amp;D$51&amp;"!"&amp;$G57)</f>
        <v>1</v>
      </c>
      <c r="E57" s="295" t="b">
        <f t="shared" ca="1" si="2"/>
        <v>1</v>
      </c>
      <c r="F57" s="332" t="str">
        <f ca="1">LEFT(H57,FIND("1",H57)-1)</f>
        <v>HP_</v>
      </c>
      <c r="G57" s="332" t="str">
        <f ca="1">RIGHT(H57,LEN(H57)-FIND("!",H57))</f>
        <v>N10</v>
      </c>
      <c r="H57" s="333" t="str">
        <f ca="1">SUBSTITUTE( _xlfn.FORMULATEXT(B57),"=","")</f>
        <v>HP_1!N10</v>
      </c>
      <c r="I57" s="198"/>
      <c r="J57" s="207"/>
      <c r="K57" s="236"/>
    </row>
    <row r="58" spans="1:29" ht="72" customHeight="1">
      <c r="A58" s="282" t="str">
        <f>HP_1!O11</f>
        <v>Hot Water served by HP</v>
      </c>
      <c r="B58" s="330" t="b">
        <f>HP_1!N11</f>
        <v>1</v>
      </c>
      <c r="C58" s="331" t="b" cm="1">
        <f t="array" aca="1" ref="C58" ca="1">INDIRECT($F58&amp;C$51&amp;"!"&amp;$G58)</f>
        <v>1</v>
      </c>
      <c r="D58" s="331" t="b" cm="1">
        <f t="array" aca="1" ref="D58" ca="1">INDIRECT($F58&amp;D$51&amp;"!"&amp;$G58)</f>
        <v>1</v>
      </c>
      <c r="E58" s="295" t="b">
        <f t="shared" ca="1" si="2"/>
        <v>1</v>
      </c>
      <c r="F58" s="332" t="str">
        <f t="shared" ref="F58:F60" ca="1" si="6">LEFT(H58,FIND("1",H58)-1)</f>
        <v>HP_</v>
      </c>
      <c r="G58" s="332" t="str">
        <f t="shared" ref="G58:G60" ca="1" si="7">RIGHT(H58,LEN(H58)-FIND("!",H58))</f>
        <v>N11</v>
      </c>
      <c r="H58" s="333" t="str">
        <f t="shared" ref="H58:H60" ca="1" si="8">SUBSTITUTE( _xlfn.FORMULATEXT(B58),"=","")</f>
        <v>HP_1!N11</v>
      </c>
      <c r="I58" s="198"/>
      <c r="J58" s="207"/>
      <c r="K58" s="236"/>
    </row>
    <row r="59" spans="1:29" ht="65.45" customHeight="1">
      <c r="A59" s="282" t="str">
        <f>HP_1!O12</f>
        <v>Same HP for Space and Water Heating</v>
      </c>
      <c r="B59" s="330" t="b">
        <f>HP_1!N12</f>
        <v>1</v>
      </c>
      <c r="C59" s="331" t="b" cm="1">
        <f t="array" aca="1" ref="C59" ca="1">INDIRECT($F59&amp;C$51&amp;"!"&amp;$G59)</f>
        <v>1</v>
      </c>
      <c r="D59" s="331" t="b" cm="1">
        <f t="array" aca="1" ref="D59" ca="1">INDIRECT($F59&amp;D$51&amp;"!"&amp;$G59)</f>
        <v>1</v>
      </c>
      <c r="E59" s="295" t="b">
        <f t="shared" ca="1" si="2"/>
        <v>1</v>
      </c>
      <c r="F59" s="332" t="str">
        <f t="shared" ca="1" si="6"/>
        <v>HP_</v>
      </c>
      <c r="G59" s="332" t="str">
        <f t="shared" ca="1" si="7"/>
        <v>N12</v>
      </c>
      <c r="H59" s="333" t="str">
        <f t="shared" ca="1" si="8"/>
        <v>HP_1!N12</v>
      </c>
      <c r="I59" s="198"/>
      <c r="J59" s="207"/>
      <c r="K59" s="236"/>
    </row>
    <row r="60" spans="1:29" ht="141" customHeight="1">
      <c r="A60" s="282" t="s">
        <v>653</v>
      </c>
      <c r="B60" s="330" t="str">
        <f>SpaceStandardsID_1!A32</f>
        <v/>
      </c>
      <c r="C60" s="331" t="str" cm="1">
        <f t="array" aca="1" ref="C60" ca="1">INDIRECT($F60&amp;C$51&amp;"!"&amp;$G60)</f>
        <v/>
      </c>
      <c r="D60" s="331" t="str" cm="1">
        <f t="array" aca="1" ref="D60" ca="1">INDIRECT($F60&amp;D$51&amp;"!"&amp;$G60)</f>
        <v/>
      </c>
      <c r="E60" s="295" t="str">
        <f t="shared" ca="1" si="2"/>
        <v/>
      </c>
      <c r="F60" s="332" t="str">
        <f t="shared" ca="1" si="6"/>
        <v>SpaceStandardsID_</v>
      </c>
      <c r="G60" s="332" t="str">
        <f t="shared" ca="1" si="7"/>
        <v>A32</v>
      </c>
      <c r="H60" s="333" t="str">
        <f t="shared" ca="1" si="8"/>
        <v>SpaceStandardsID_1!A32</v>
      </c>
    </row>
  </sheetData>
  <sheetProtection algorithmName="SHA-512" hashValue="/P7v/M+czB/3Ce61G9SZfTFbDZRhZXe9KlBgfrivi8Fh9R8By6JkTnnmBB6Muc12QBKS1gN/g0PU8NGlATup4Q==" saltValue="IfQ06ZmTRaI5UtiDZI2EPQ==" spinCount="100000" sheet="1" objects="1" scenarios="1"/>
  <autoFilter ref="A2:J20" xr:uid="{3A978C5E-8AA7-4C8C-8395-C11E814AEE32}"/>
  <mergeCells count="3">
    <mergeCell ref="A1:C1"/>
    <mergeCell ref="E1:I1"/>
    <mergeCell ref="E16:I16"/>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55F6671-48E5-470C-98A0-7F2715A8E6D0}">
          <x14:formula1>
            <xm:f>HP_1!$N$1:$N$7</xm:f>
          </x14:formula1>
          <xm:sqref>E3:I15</xm:sqref>
        </x14:dataValidation>
        <x14:dataValidation type="list" allowBlank="1" showInputMessage="1" showErrorMessage="1" xr:uid="{0033971A-27B4-479A-84C3-57D00A5689EE}">
          <x14:formula1>
            <xm:f>HP_1!$S$1:$S$8</xm:f>
          </x14:formula1>
          <xm:sqref>B3:B15</xm:sqref>
        </x14:dataValidation>
        <x14:dataValidation type="list" allowBlank="1" showInputMessage="1" showErrorMessage="1" xr:uid="{61D6A235-370F-4E54-BE8C-D827206BC30E}">
          <x14:formula1>
            <xm:f>HP_1!$Q$2:$Q$3</xm:f>
          </x14:formula1>
          <xm:sqref>C3:C15</xm:sqref>
        </x14:dataValidation>
        <x14:dataValidation type="list" allowBlank="1" showInputMessage="1" showErrorMessage="1" xr:uid="{3874665C-B941-4DFB-83C7-82D65C5B948F}">
          <x14:formula1>
            <xm:f>HP_1!$T$2:$T$3</xm:f>
          </x14:formula1>
          <xm:sqref>D3:D15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6135-09C3-4F72-8AE8-61A624EABE6B}">
  <dimension ref="A1:AC60"/>
  <sheetViews>
    <sheetView zoomScale="55" zoomScaleNormal="55" workbookViewId="0">
      <selection activeCell="D12" sqref="D12"/>
    </sheetView>
  </sheetViews>
  <sheetFormatPr defaultColWidth="8.85546875" defaultRowHeight="24" customHeight="1"/>
  <cols>
    <col min="1" max="1" width="12.5703125" style="198" customWidth="1"/>
    <col min="2" max="2" width="25.5703125" style="198" bestFit="1" customWidth="1"/>
    <col min="3" max="3" width="18.5703125" style="198" bestFit="1" customWidth="1"/>
    <col min="4" max="4" width="84.85546875" style="198" customWidth="1"/>
    <col min="5" max="6" width="12.42578125" style="198" bestFit="1" customWidth="1"/>
    <col min="7" max="7" width="11.85546875" style="198" bestFit="1" customWidth="1"/>
    <col min="8" max="8" width="14.5703125" style="198" customWidth="1"/>
    <col min="9" max="9" width="18.5703125" style="207" bestFit="1" customWidth="1"/>
    <col min="10" max="10" width="27.5703125" style="208" customWidth="1"/>
    <col min="11" max="16384" width="8.85546875" style="198"/>
  </cols>
  <sheetData>
    <row r="1" spans="1:14" ht="133.35" customHeight="1" thickBot="1">
      <c r="A1" s="727" t="s">
        <v>648</v>
      </c>
      <c r="B1" s="728"/>
      <c r="C1" s="728"/>
      <c r="D1" s="197" t="str">
        <f ca="1">"Diagnostics cell: 
"&amp;E52&amp;"
"
&amp;E54&amp;"
"&amp;E55&amp;"
"&amp;E56</f>
        <v>Diagnostics cell: 
Air to Water
Electricity
Ecodesign applies and/or ecodesign data available
I.S. EN 16147</v>
      </c>
      <c r="E1" s="735" t="s">
        <v>649</v>
      </c>
      <c r="F1" s="736"/>
      <c r="G1" s="736"/>
      <c r="H1" s="736"/>
      <c r="I1" s="737"/>
      <c r="J1" s="199" t="s">
        <v>650</v>
      </c>
      <c r="M1" s="323" t="s">
        <v>200</v>
      </c>
      <c r="N1" s="259">
        <v>3</v>
      </c>
    </row>
    <row r="2" spans="1:14" s="207" customFormat="1" ht="38.1" customHeight="1" thickBot="1">
      <c r="A2" s="200" t="s">
        <v>641</v>
      </c>
      <c r="B2" s="201" t="s">
        <v>281</v>
      </c>
      <c r="C2" s="202" t="s">
        <v>642</v>
      </c>
      <c r="D2" s="238" t="s">
        <v>644</v>
      </c>
      <c r="E2" s="339" t="s">
        <v>249</v>
      </c>
      <c r="F2" s="340" t="s">
        <v>645</v>
      </c>
      <c r="G2" s="340" t="s">
        <v>651</v>
      </c>
      <c r="H2" s="341" t="s">
        <v>260</v>
      </c>
      <c r="I2" s="342" t="s">
        <v>266</v>
      </c>
      <c r="J2" s="208"/>
    </row>
    <row r="3" spans="1:14" ht="41.25">
      <c r="A3" s="209">
        <f ca="1">IF(AND($E$52=B3,$E$54=C3,$E$55=D3 ),1,"")</f>
        <v>1</v>
      </c>
      <c r="B3" s="210" t="s">
        <v>205</v>
      </c>
      <c r="C3" s="211" t="s">
        <v>218</v>
      </c>
      <c r="D3" s="239" t="s">
        <v>221</v>
      </c>
      <c r="E3" s="343" t="s">
        <v>249</v>
      </c>
      <c r="F3" s="343"/>
      <c r="G3" s="343"/>
      <c r="H3" s="343"/>
      <c r="I3" s="343" t="s">
        <v>266</v>
      </c>
      <c r="J3" s="240" t="str">
        <f>E3&amp;CHAR(10)&amp;F3&amp;CHAR(10)&amp;G3&amp;CHAR(10)&amp;H3&amp;CHAR(10)&amp;I3</f>
        <v>I.S. EN 16147
I.S. EN 14825/14511</v>
      </c>
    </row>
    <row r="4" spans="1:14" ht="41.25">
      <c r="A4" s="209" t="str">
        <f t="shared" ref="A4:A15" ca="1" si="0">IF(AND($E$52=B4,$E$54=C4,$E$55=D4 ),1,"")</f>
        <v/>
      </c>
      <c r="B4" s="210" t="s">
        <v>220</v>
      </c>
      <c r="C4" s="211" t="s">
        <v>218</v>
      </c>
      <c r="D4" s="239" t="s">
        <v>221</v>
      </c>
      <c r="E4" s="343" t="s">
        <v>249</v>
      </c>
      <c r="F4" s="343"/>
      <c r="G4" s="343"/>
      <c r="H4" s="343"/>
      <c r="I4" s="343" t="s">
        <v>266</v>
      </c>
      <c r="J4" s="240" t="str">
        <f t="shared" ref="J4:J15" si="1">E4&amp;CHAR(10)&amp;F4&amp;CHAR(10)&amp;G4&amp;CHAR(10)&amp;H4&amp;CHAR(10)&amp;I4</f>
        <v>I.S. EN 16147
I.S. EN 14825/14511</v>
      </c>
    </row>
    <row r="5" spans="1:14" ht="41.25">
      <c r="A5" s="209" t="str">
        <f t="shared" ca="1" si="0"/>
        <v/>
      </c>
      <c r="B5" s="210" t="s">
        <v>231</v>
      </c>
      <c r="C5" s="211" t="s">
        <v>218</v>
      </c>
      <c r="D5" s="239" t="s">
        <v>221</v>
      </c>
      <c r="E5" s="343" t="s">
        <v>249</v>
      </c>
      <c r="F5" s="343"/>
      <c r="G5" s="343"/>
      <c r="H5" s="343"/>
      <c r="I5" s="343" t="s">
        <v>266</v>
      </c>
      <c r="J5" s="240" t="str">
        <f t="shared" si="1"/>
        <v>I.S. EN 16147
I.S. EN 14825/14511</v>
      </c>
    </row>
    <row r="6" spans="1:14" ht="41.25">
      <c r="A6" s="209" t="str">
        <f t="shared" ca="1" si="0"/>
        <v/>
      </c>
      <c r="B6" s="210" t="s">
        <v>242</v>
      </c>
      <c r="C6" s="211" t="s">
        <v>218</v>
      </c>
      <c r="D6" s="239" t="s">
        <v>221</v>
      </c>
      <c r="E6" s="343" t="s">
        <v>249</v>
      </c>
      <c r="F6" s="343"/>
      <c r="G6" s="343"/>
      <c r="H6" s="343"/>
      <c r="I6" s="343" t="s">
        <v>266</v>
      </c>
      <c r="J6" s="240" t="str">
        <f t="shared" si="1"/>
        <v>I.S. EN 16147
I.S. EN 14825/14511</v>
      </c>
    </row>
    <row r="7" spans="1:14" ht="41.25">
      <c r="A7" s="209" t="str">
        <f t="shared" ca="1" si="0"/>
        <v/>
      </c>
      <c r="B7" s="210" t="s">
        <v>250</v>
      </c>
      <c r="C7" s="211" t="s">
        <v>218</v>
      </c>
      <c r="D7" s="239" t="s">
        <v>221</v>
      </c>
      <c r="E7" s="343" t="s">
        <v>249</v>
      </c>
      <c r="F7" s="343"/>
      <c r="G7" s="343"/>
      <c r="H7" s="343"/>
      <c r="I7" s="343" t="s">
        <v>266</v>
      </c>
      <c r="J7" s="240" t="str">
        <f t="shared" si="1"/>
        <v>I.S. EN 16147
I.S. EN 14825/14511</v>
      </c>
    </row>
    <row r="8" spans="1:14" ht="41.25">
      <c r="A8" s="209" t="str">
        <f t="shared" ca="1" si="0"/>
        <v/>
      </c>
      <c r="B8" s="210" t="s">
        <v>205</v>
      </c>
      <c r="C8" s="211" t="s">
        <v>230</v>
      </c>
      <c r="D8" s="239" t="s">
        <v>221</v>
      </c>
      <c r="E8" s="343"/>
      <c r="F8" s="343"/>
      <c r="G8" s="343"/>
      <c r="H8" s="343" t="s">
        <v>260</v>
      </c>
      <c r="I8" s="343"/>
      <c r="J8" s="240" t="str">
        <f t="shared" si="1"/>
        <v xml:space="preserve">
I.S. EN  13203-6
</v>
      </c>
    </row>
    <row r="9" spans="1:14" ht="41.25">
      <c r="A9" s="209" t="str">
        <f t="shared" ca="1" si="0"/>
        <v/>
      </c>
      <c r="B9" s="210" t="s">
        <v>220</v>
      </c>
      <c r="C9" s="211" t="s">
        <v>230</v>
      </c>
      <c r="D9" s="239" t="s">
        <v>221</v>
      </c>
      <c r="E9" s="343"/>
      <c r="F9" s="343"/>
      <c r="G9" s="343"/>
      <c r="H9" s="343" t="s">
        <v>260</v>
      </c>
      <c r="I9" s="343"/>
      <c r="J9" s="240" t="str">
        <f t="shared" si="1"/>
        <v xml:space="preserve">
I.S. EN  13203-6
</v>
      </c>
    </row>
    <row r="10" spans="1:14" ht="41.25">
      <c r="A10" s="209" t="str">
        <f t="shared" ca="1" si="0"/>
        <v/>
      </c>
      <c r="B10" s="210" t="s">
        <v>231</v>
      </c>
      <c r="C10" s="211" t="s">
        <v>230</v>
      </c>
      <c r="D10" s="239" t="s">
        <v>221</v>
      </c>
      <c r="E10" s="343"/>
      <c r="F10" s="343"/>
      <c r="G10" s="343"/>
      <c r="H10" s="343" t="s">
        <v>260</v>
      </c>
      <c r="I10" s="343"/>
      <c r="J10" s="240" t="str">
        <f t="shared" si="1"/>
        <v xml:space="preserve">
I.S. EN  13203-6
</v>
      </c>
    </row>
    <row r="11" spans="1:14" ht="41.25">
      <c r="A11" s="209" t="str">
        <f t="shared" ca="1" si="0"/>
        <v/>
      </c>
      <c r="B11" s="210" t="s">
        <v>205</v>
      </c>
      <c r="C11" s="211" t="s">
        <v>218</v>
      </c>
      <c r="D11" s="239" t="s">
        <v>232</v>
      </c>
      <c r="E11" s="343"/>
      <c r="F11" s="343" t="s">
        <v>645</v>
      </c>
      <c r="G11" s="343" t="s">
        <v>651</v>
      </c>
      <c r="H11" s="343"/>
      <c r="I11" s="343"/>
      <c r="J11" s="240" t="str">
        <f t="shared" si="1"/>
        <v xml:space="preserve">
I.S. EN 14511
I.S. EN 255-3
</v>
      </c>
    </row>
    <row r="12" spans="1:14" ht="41.25">
      <c r="A12" s="209" t="str">
        <f t="shared" ca="1" si="0"/>
        <v/>
      </c>
      <c r="B12" s="210" t="s">
        <v>220</v>
      </c>
      <c r="C12" s="211" t="s">
        <v>218</v>
      </c>
      <c r="D12" s="239" t="s">
        <v>232</v>
      </c>
      <c r="E12" s="343"/>
      <c r="F12" s="343" t="s">
        <v>645</v>
      </c>
      <c r="G12" s="343" t="s">
        <v>651</v>
      </c>
      <c r="H12" s="343"/>
      <c r="I12" s="343"/>
      <c r="J12" s="240" t="str">
        <f t="shared" si="1"/>
        <v xml:space="preserve">
I.S. EN 14511
I.S. EN 255-3
</v>
      </c>
    </row>
    <row r="13" spans="1:14" ht="41.25">
      <c r="A13" s="209" t="str">
        <f t="shared" ca="1" si="0"/>
        <v/>
      </c>
      <c r="B13" s="210" t="s">
        <v>231</v>
      </c>
      <c r="C13" s="211" t="s">
        <v>218</v>
      </c>
      <c r="D13" s="239" t="s">
        <v>232</v>
      </c>
      <c r="E13" s="343"/>
      <c r="F13" s="343" t="s">
        <v>645</v>
      </c>
      <c r="G13" s="343" t="s">
        <v>651</v>
      </c>
      <c r="H13" s="343"/>
      <c r="I13" s="343"/>
      <c r="J13" s="240" t="str">
        <f t="shared" si="1"/>
        <v xml:space="preserve">
I.S. EN 14511
I.S. EN 255-3
</v>
      </c>
    </row>
    <row r="14" spans="1:14" ht="41.25">
      <c r="A14" s="209" t="str">
        <f t="shared" ca="1" si="0"/>
        <v/>
      </c>
      <c r="B14" s="210" t="s">
        <v>242</v>
      </c>
      <c r="C14" s="211" t="s">
        <v>218</v>
      </c>
      <c r="D14" s="239" t="s">
        <v>232</v>
      </c>
      <c r="E14" s="343"/>
      <c r="F14" s="343" t="s">
        <v>645</v>
      </c>
      <c r="G14" s="343" t="s">
        <v>651</v>
      </c>
      <c r="H14" s="343"/>
      <c r="I14" s="343"/>
      <c r="J14" s="240" t="str">
        <f t="shared" si="1"/>
        <v xml:space="preserve">
I.S. EN 14511
I.S. EN 255-3
</v>
      </c>
    </row>
    <row r="15" spans="1:14" ht="41.25">
      <c r="A15" s="209" t="str">
        <f t="shared" ca="1" si="0"/>
        <v/>
      </c>
      <c r="B15" s="210" t="s">
        <v>250</v>
      </c>
      <c r="C15" s="211" t="s">
        <v>218</v>
      </c>
      <c r="D15" s="239" t="s">
        <v>232</v>
      </c>
      <c r="E15" s="343"/>
      <c r="F15" s="343" t="s">
        <v>645</v>
      </c>
      <c r="G15" s="343"/>
      <c r="H15" s="343"/>
      <c r="I15" s="343"/>
      <c r="J15" s="240" t="str">
        <f t="shared" si="1"/>
        <v xml:space="preserve">
I.S. EN 14511
</v>
      </c>
    </row>
    <row r="16" spans="1:14" ht="24" customHeight="1">
      <c r="A16" s="222"/>
      <c r="B16" s="325" t="str">
        <f ca="1">VLOOKUP(1,$A$3:$P$15,2,FALSE)</f>
        <v>Air to Water</v>
      </c>
      <c r="C16" s="325" t="str">
        <f ca="1">VLOOKUP(1,$A$3:$P$15,3,FALSE)</f>
        <v>Electricity</v>
      </c>
      <c r="D16" s="325" t="str">
        <f ca="1">VLOOKUP(1,$A$3:$P$15,4,FALSE)</f>
        <v>Ecodesign applies and/or ecodesign data available</v>
      </c>
      <c r="E16" s="738" t="s">
        <v>646</v>
      </c>
      <c r="F16" s="739"/>
      <c r="G16" s="739"/>
      <c r="H16" s="739"/>
      <c r="I16" s="740"/>
      <c r="J16" s="324" t="str">
        <f ca="1">VLOOKUP(1,$A$3:$P$15,10,FALSE)</f>
        <v>I.S. EN 16147
I.S. EN 14825/14511</v>
      </c>
    </row>
    <row r="17" spans="1:4" ht="24" customHeight="1">
      <c r="A17" s="222" t="str">
        <f ca="1">IF(A18&lt;&gt;"",A18,IF(A19&lt;&gt;"",A19,A20))</f>
        <v>Valid water heat pump type selected.</v>
      </c>
      <c r="B17" s="223"/>
      <c r="C17" s="223"/>
      <c r="D17" s="223"/>
    </row>
    <row r="18" spans="1:4" ht="24" customHeight="1">
      <c r="A18" s="222" t="str">
        <f ca="1">E60</f>
        <v/>
      </c>
      <c r="B18" s="223"/>
      <c r="C18" s="223"/>
      <c r="D18" s="223"/>
    </row>
    <row r="19" spans="1:4" ht="24" customHeight="1">
      <c r="A19" s="222" t="str">
        <f ca="1">IF(SUM(A3:A15)&lt;&gt;1,"ERROR: Invalid water heating heat pump type selected. See allowable options in 'water standards ID' tab","")</f>
        <v/>
      </c>
      <c r="B19" s="223"/>
      <c r="C19" s="223"/>
      <c r="D19" s="223"/>
    </row>
    <row r="20" spans="1:4" ht="24" customHeight="1">
      <c r="A20" s="645" t="s">
        <v>652</v>
      </c>
    </row>
    <row r="21" spans="1:4" ht="24" customHeight="1">
      <c r="A21" s="222"/>
    </row>
    <row r="22" spans="1:4" ht="24" customHeight="1">
      <c r="A22" s="222"/>
    </row>
    <row r="49" spans="1:29" ht="24" customHeight="1" thickBot="1"/>
    <row r="50" spans="1:29" s="80" customFormat="1" ht="39" thickBot="1">
      <c r="A50" s="335" t="s">
        <v>429</v>
      </c>
      <c r="B50" s="336" t="s">
        <v>430</v>
      </c>
      <c r="C50" s="336" t="s">
        <v>431</v>
      </c>
      <c r="D50" s="336" t="s">
        <v>432</v>
      </c>
      <c r="E50" s="337"/>
      <c r="F50" s="337"/>
      <c r="G50" s="337"/>
      <c r="H50" s="337"/>
      <c r="I50" s="338"/>
      <c r="J50" s="82"/>
      <c r="L50" s="82"/>
      <c r="AC50" s="82"/>
    </row>
    <row r="51" spans="1:29" s="80" customFormat="1" ht="69.599999999999994" customHeight="1">
      <c r="A51" s="276" t="s">
        <v>584</v>
      </c>
      <c r="B51" s="276" t="str">
        <f>RIGHT(B50)</f>
        <v>1</v>
      </c>
      <c r="C51" s="276" t="str">
        <f>RIGHT(C50)</f>
        <v>2</v>
      </c>
      <c r="D51" s="276" t="str">
        <f>RIGHT(D50)</f>
        <v>3</v>
      </c>
      <c r="E51" s="276" t="s">
        <v>434</v>
      </c>
      <c r="F51" s="277" t="s">
        <v>177</v>
      </c>
      <c r="G51" s="277" t="s">
        <v>178</v>
      </c>
      <c r="H51" s="277" t="s">
        <v>435</v>
      </c>
      <c r="I51" s="82"/>
      <c r="J51" s="82"/>
      <c r="L51" s="82"/>
      <c r="AC51" s="82"/>
    </row>
    <row r="52" spans="1:29" s="80" customFormat="1" ht="31.5">
      <c r="A52" s="282" t="str">
        <f>HP_1!A65</f>
        <v>Type of heat pump</v>
      </c>
      <c r="B52" s="320" t="str">
        <f>HP_1!B65</f>
        <v>Air to Water</v>
      </c>
      <c r="C52" s="279" t="str" cm="1">
        <f t="array" aca="1" ref="C52" ca="1">INDIRECT($F52&amp;C$51&amp;"!"&amp;$G52)</f>
        <v>Air to Water</v>
      </c>
      <c r="D52" s="279" t="str" cm="1">
        <f t="array" aca="1" ref="D52" ca="1">INDIRECT($F52&amp;D$51&amp;"!"&amp;$G52)</f>
        <v>Air to Water</v>
      </c>
      <c r="E52" s="295" t="str">
        <f ca="1">VLOOKUP(A52,A52:D52,$N$1+1,FALSE)</f>
        <v>Air to Water</v>
      </c>
      <c r="F52" s="280" t="str">
        <f ca="1">LEFT(H52,FIND("1",H52)-1)</f>
        <v>HP_</v>
      </c>
      <c r="G52" s="280" t="str">
        <f ca="1">RIGHT(H52,LEN(H52)-FIND("!",H52))</f>
        <v>B65</v>
      </c>
      <c r="H52" s="281" t="str">
        <f ca="1">SUBSTITUTE( _xlfn.FORMULATEXT(B52),"=","")</f>
        <v>HP_1!B65</v>
      </c>
      <c r="L52" s="82"/>
      <c r="AC52" s="82"/>
    </row>
    <row r="53" spans="1:29" s="80" customFormat="1" ht="78.75">
      <c r="A53" s="282" t="str">
        <f>HP_1!D10</f>
        <v xml:space="preserve">Is this a Low Temperature Heat Pump? </v>
      </c>
      <c r="B53" s="322" t="str">
        <f>HP_1!G10</f>
        <v>Not low temperature heat pump</v>
      </c>
      <c r="C53" s="279" t="str" cm="1">
        <f t="array" aca="1" ref="C53" ca="1">INDIRECT($F53&amp;C$51&amp;"!"&amp;$G53)</f>
        <v>Not low temperature heat pump</v>
      </c>
      <c r="D53" s="279" t="str" cm="1">
        <f t="array" aca="1" ref="D53" ca="1">INDIRECT($F53&amp;D$51&amp;"!"&amp;$G53)</f>
        <v>Not low temperature heat pump</v>
      </c>
      <c r="E53" s="295" t="str">
        <f t="shared" ref="E53:E60" ca="1" si="2">VLOOKUP(A53,A53:D53,$N$1+1,FALSE)</f>
        <v>Not low temperature heat pump</v>
      </c>
      <c r="F53" s="280" t="str">
        <f ca="1">LEFT(H53,FIND("1",H53)-1)</f>
        <v>HP_</v>
      </c>
      <c r="G53" s="280" t="str">
        <f ca="1">RIGHT(H53,LEN(H53)-FIND("!",H53))</f>
        <v>G10</v>
      </c>
      <c r="H53" s="281" t="str">
        <f ca="1">SUBSTITUTE( _xlfn.FORMULATEXT(B53),"=","")</f>
        <v>HP_1!G10</v>
      </c>
      <c r="L53" s="82"/>
      <c r="AC53" s="82"/>
    </row>
    <row r="54" spans="1:29" s="80" customFormat="1" ht="60.6" customHeight="1">
      <c r="A54" s="282" t="str">
        <f>HP_1!D63</f>
        <v xml:space="preserve">Is this heat pump electric or gas (GAHP)? </v>
      </c>
      <c r="B54" s="321" t="str">
        <f>HP_1!G63</f>
        <v>Electricity</v>
      </c>
      <c r="C54" s="279" t="str" cm="1">
        <f t="array" aca="1" ref="C54" ca="1">INDIRECT($F54&amp;C$51&amp;"!"&amp;$G54)</f>
        <v>Electricity</v>
      </c>
      <c r="D54" s="279" t="str" cm="1">
        <f t="array" aca="1" ref="D54" ca="1">INDIRECT($F54&amp;D$51&amp;"!"&amp;$G54)</f>
        <v>Electricity</v>
      </c>
      <c r="E54" s="295" t="str">
        <f t="shared" ca="1" si="2"/>
        <v>Electricity</v>
      </c>
      <c r="F54" s="280" t="str">
        <f t="shared" ref="F54:F56" ca="1" si="3">LEFT(H54,FIND("1",H54)-1)</f>
        <v>HP_</v>
      </c>
      <c r="G54" s="280" t="str">
        <f t="shared" ref="G54:G56" ca="1" si="4">RIGHT(H54,LEN(H54)-FIND("!",H54))</f>
        <v>G63</v>
      </c>
      <c r="H54" s="281" t="str">
        <f t="shared" ref="H54:H56" ca="1" si="5">SUBSTITUTE( _xlfn.FORMULATEXT(B54),"=","")</f>
        <v>HP_1!G63</v>
      </c>
      <c r="L54" s="82"/>
      <c r="AC54" s="82"/>
    </row>
    <row r="55" spans="1:29" s="80" customFormat="1" ht="110.25">
      <c r="A55" s="282" t="str">
        <f>HP_1!D64</f>
        <v>What is the status of this heat pump regarding Ecodesign data?</v>
      </c>
      <c r="B55" s="322" t="str">
        <f>HP_1!G64</f>
        <v>Ecodesign applies and/or ecodesign data available</v>
      </c>
      <c r="C55" s="279" t="str" cm="1">
        <f t="array" aca="1" ref="C55" ca="1">INDIRECT($F55&amp;C$51&amp;"!"&amp;$G55)</f>
        <v>Ecodesign applies and/or ecodesign data available</v>
      </c>
      <c r="D55" s="279" t="str" cm="1">
        <f t="array" aca="1" ref="D55" ca="1">INDIRECT($F55&amp;D$51&amp;"!"&amp;$G55)</f>
        <v>Ecodesign applies and/or ecodesign data available</v>
      </c>
      <c r="E55" s="295" t="str">
        <f t="shared" ca="1" si="2"/>
        <v>Ecodesign applies and/or ecodesign data available</v>
      </c>
      <c r="F55" s="280" t="str">
        <f t="shared" ca="1" si="3"/>
        <v>HP_</v>
      </c>
      <c r="G55" s="280" t="str">
        <f t="shared" ca="1" si="4"/>
        <v>G64</v>
      </c>
      <c r="H55" s="281" t="str">
        <f t="shared" ca="1" si="5"/>
        <v>HP_1!G64</v>
      </c>
      <c r="L55" s="82"/>
      <c r="AC55" s="82"/>
    </row>
    <row r="56" spans="1:29" s="80" customFormat="1" ht="63">
      <c r="A56" s="282" t="str">
        <f>HP_1!A68</f>
        <v>Water Heating Test Standard</v>
      </c>
      <c r="B56" s="278" t="str">
        <f>HP_1!B68</f>
        <v>I.S. EN 16147</v>
      </c>
      <c r="C56" s="279" t="str" cm="1">
        <f t="array" aca="1" ref="C56" ca="1">INDIRECT($F56&amp;C$51&amp;"!"&amp;$G56)</f>
        <v>I.S. EN 16147</v>
      </c>
      <c r="D56" s="279" t="str" cm="1">
        <f t="array" aca="1" ref="D56" ca="1">INDIRECT($F56&amp;D$51&amp;"!"&amp;$G56)</f>
        <v>I.S. EN 16147</v>
      </c>
      <c r="E56" s="295" t="str">
        <f t="shared" ca="1" si="2"/>
        <v>I.S. EN 16147</v>
      </c>
      <c r="F56" s="280" t="str">
        <f t="shared" ca="1" si="3"/>
        <v>HP_</v>
      </c>
      <c r="G56" s="280" t="str">
        <f t="shared" ca="1" si="4"/>
        <v>B68</v>
      </c>
      <c r="H56" s="281" t="str">
        <f t="shared" ca="1" si="5"/>
        <v>HP_1!B68</v>
      </c>
      <c r="L56" s="82"/>
      <c r="AC56" s="82"/>
    </row>
    <row r="57" spans="1:29" ht="53.45" customHeight="1">
      <c r="A57" s="282" t="str">
        <f>HP_1!O10</f>
        <v>Space Heating served by HP</v>
      </c>
      <c r="B57" s="330" t="b">
        <f>HP_1!N10</f>
        <v>1</v>
      </c>
      <c r="C57" s="331" t="b" cm="1">
        <f t="array" aca="1" ref="C57" ca="1">INDIRECT($F57&amp;C$51&amp;"!"&amp;$G57)</f>
        <v>1</v>
      </c>
      <c r="D57" s="331" t="b" cm="1">
        <f t="array" aca="1" ref="D57" ca="1">INDIRECT($F57&amp;D$51&amp;"!"&amp;$G57)</f>
        <v>1</v>
      </c>
      <c r="E57" s="295" t="b">
        <f t="shared" ca="1" si="2"/>
        <v>1</v>
      </c>
      <c r="F57" s="332" t="str">
        <f ca="1">LEFT(H57,FIND("1",H57)-1)</f>
        <v>HP_</v>
      </c>
      <c r="G57" s="332" t="str">
        <f ca="1">RIGHT(H57,LEN(H57)-FIND("!",H57))</f>
        <v>N10</v>
      </c>
      <c r="H57" s="333" t="str">
        <f ca="1">SUBSTITUTE( _xlfn.FORMULATEXT(B57),"=","")</f>
        <v>HP_1!N10</v>
      </c>
      <c r="I57" s="198"/>
      <c r="J57" s="207"/>
      <c r="K57" s="236"/>
    </row>
    <row r="58" spans="1:29" ht="72" customHeight="1">
      <c r="A58" s="282" t="str">
        <f>HP_1!O11</f>
        <v>Hot Water served by HP</v>
      </c>
      <c r="B58" s="330" t="b">
        <f>HP_1!N11</f>
        <v>1</v>
      </c>
      <c r="C58" s="331" t="b" cm="1">
        <f t="array" aca="1" ref="C58" ca="1">INDIRECT($F58&amp;C$51&amp;"!"&amp;$G58)</f>
        <v>1</v>
      </c>
      <c r="D58" s="331" t="b" cm="1">
        <f t="array" aca="1" ref="D58" ca="1">INDIRECT($F58&amp;D$51&amp;"!"&amp;$G58)</f>
        <v>1</v>
      </c>
      <c r="E58" s="295" t="b">
        <f t="shared" ca="1" si="2"/>
        <v>1</v>
      </c>
      <c r="F58" s="332" t="str">
        <f t="shared" ref="F58:F60" ca="1" si="6">LEFT(H58,FIND("1",H58)-1)</f>
        <v>HP_</v>
      </c>
      <c r="G58" s="332" t="str">
        <f t="shared" ref="G58:G60" ca="1" si="7">RIGHT(H58,LEN(H58)-FIND("!",H58))</f>
        <v>N11</v>
      </c>
      <c r="H58" s="333" t="str">
        <f t="shared" ref="H58:H60" ca="1" si="8">SUBSTITUTE( _xlfn.FORMULATEXT(B58),"=","")</f>
        <v>HP_1!N11</v>
      </c>
      <c r="I58" s="198"/>
      <c r="J58" s="207"/>
      <c r="K58" s="236"/>
    </row>
    <row r="59" spans="1:29" ht="65.45" customHeight="1">
      <c r="A59" s="282" t="str">
        <f>HP_1!O12</f>
        <v>Same HP for Space and Water Heating</v>
      </c>
      <c r="B59" s="330" t="b">
        <f>HP_1!N12</f>
        <v>1</v>
      </c>
      <c r="C59" s="331" t="b" cm="1">
        <f t="array" aca="1" ref="C59" ca="1">INDIRECT($F59&amp;C$51&amp;"!"&amp;$G59)</f>
        <v>1</v>
      </c>
      <c r="D59" s="331" t="b" cm="1">
        <f t="array" aca="1" ref="D59" ca="1">INDIRECT($F59&amp;D$51&amp;"!"&amp;$G59)</f>
        <v>1</v>
      </c>
      <c r="E59" s="295" t="b">
        <f t="shared" ca="1" si="2"/>
        <v>1</v>
      </c>
      <c r="F59" s="332" t="str">
        <f t="shared" ca="1" si="6"/>
        <v>HP_</v>
      </c>
      <c r="G59" s="332" t="str">
        <f t="shared" ca="1" si="7"/>
        <v>N12</v>
      </c>
      <c r="H59" s="333" t="str">
        <f t="shared" ca="1" si="8"/>
        <v>HP_1!N12</v>
      </c>
      <c r="I59" s="198"/>
      <c r="J59" s="207"/>
      <c r="K59" s="236"/>
    </row>
    <row r="60" spans="1:29" ht="141" customHeight="1">
      <c r="A60" s="282" t="s">
        <v>653</v>
      </c>
      <c r="B60" s="330" t="str">
        <f>SpaceStandardsID_1!A32</f>
        <v/>
      </c>
      <c r="C60" s="331" t="str" cm="1">
        <f t="array" aca="1" ref="C60" ca="1">INDIRECT($F60&amp;C$51&amp;"!"&amp;$G60)</f>
        <v/>
      </c>
      <c r="D60" s="331" t="str" cm="1">
        <f t="array" aca="1" ref="D60" ca="1">INDIRECT($F60&amp;D$51&amp;"!"&amp;$G60)</f>
        <v/>
      </c>
      <c r="E60" s="295" t="str">
        <f t="shared" ca="1" si="2"/>
        <v/>
      </c>
      <c r="F60" s="332" t="str">
        <f t="shared" ca="1" si="6"/>
        <v>SpaceStandardsID_</v>
      </c>
      <c r="G60" s="332" t="str">
        <f t="shared" ca="1" si="7"/>
        <v>A32</v>
      </c>
      <c r="H60" s="333" t="str">
        <f t="shared" ca="1" si="8"/>
        <v>SpaceStandardsID_1!A32</v>
      </c>
    </row>
  </sheetData>
  <sheetProtection algorithmName="SHA-512" hashValue="sD3TezxY9kTG8Vt/uRYa8EXLKzqpjZriY5LlRnhqvkxvyyefMlDjvc8MFcWwDfqBreQuJnJgZWU4Z3DFATxYJw==" saltValue="wS5HzAers705vqdVhrjFbg==" spinCount="100000" sheet="1" objects="1" scenarios="1"/>
  <autoFilter ref="A2:J20" xr:uid="{3A978C5E-8AA7-4C8C-8395-C11E814AEE32}"/>
  <mergeCells count="3">
    <mergeCell ref="A1:C1"/>
    <mergeCell ref="E1:I1"/>
    <mergeCell ref="E16:I16"/>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BF5E95D-F54C-4D4F-BE8E-3ACA3E42EBEE}">
          <x14:formula1>
            <xm:f>HP_1!$T$2:$T$3</xm:f>
          </x14:formula1>
          <xm:sqref>D3:D15</xm:sqref>
        </x14:dataValidation>
        <x14:dataValidation type="list" allowBlank="1" showInputMessage="1" showErrorMessage="1" xr:uid="{4CB6D02B-1E1E-47A7-9267-DD2FC1245290}">
          <x14:formula1>
            <xm:f>HP_1!$Q$2:$Q$3</xm:f>
          </x14:formula1>
          <xm:sqref>C3:C15</xm:sqref>
        </x14:dataValidation>
        <x14:dataValidation type="list" allowBlank="1" showInputMessage="1" showErrorMessage="1" xr:uid="{5202E1BD-32BA-475B-B6E5-C6B043C4992D}">
          <x14:formula1>
            <xm:f>HP_1!$S$1:$S$8</xm:f>
          </x14:formula1>
          <xm:sqref>B3:B15</xm:sqref>
        </x14:dataValidation>
        <x14:dataValidation type="list" allowBlank="1" showInputMessage="1" showErrorMessage="1" xr:uid="{FBC3D3C2-7206-4C5F-9EE4-75526EDEF667}">
          <x14:formula1>
            <xm:f>HP_1!$N$1:$N$7</xm:f>
          </x14:formula1>
          <xm:sqref>E3:I15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L52"/>
  <sheetViews>
    <sheetView workbookViewId="0">
      <selection activeCell="D13" sqref="D13"/>
    </sheetView>
  </sheetViews>
  <sheetFormatPr defaultColWidth="9.140625" defaultRowHeight="12.75"/>
  <cols>
    <col min="2" max="2" width="44.5703125" customWidth="1"/>
    <col min="3" max="3" width="19.140625" customWidth="1"/>
    <col min="4" max="4" width="18.42578125" customWidth="1"/>
    <col min="5" max="5" width="18.5703125" customWidth="1"/>
    <col min="6" max="6" width="31.140625" customWidth="1"/>
    <col min="7" max="7" width="28.42578125" customWidth="1"/>
    <col min="10" max="10" width="12.5703125" customWidth="1"/>
  </cols>
  <sheetData>
    <row r="1" spans="1:12">
      <c r="B1">
        <v>16</v>
      </c>
      <c r="C1" t="s">
        <v>654</v>
      </c>
      <c r="F1" t="s">
        <v>23</v>
      </c>
      <c r="G1" t="s">
        <v>655</v>
      </c>
      <c r="L1" s="84"/>
    </row>
    <row r="2" spans="1:12">
      <c r="C2" s="84" t="s">
        <v>656</v>
      </c>
    </row>
    <row r="3" spans="1:12" ht="119.25" customHeight="1">
      <c r="A3" s="92" t="s">
        <v>466</v>
      </c>
      <c r="B3" s="92" t="s">
        <v>657</v>
      </c>
      <c r="C3" s="92" t="s">
        <v>658</v>
      </c>
      <c r="D3" t="s">
        <v>659</v>
      </c>
      <c r="E3" s="93" t="s">
        <v>660</v>
      </c>
      <c r="F3" t="s">
        <v>467</v>
      </c>
      <c r="G3" t="s">
        <v>468</v>
      </c>
    </row>
    <row r="4" spans="1:12">
      <c r="A4" s="94">
        <v>-12</v>
      </c>
      <c r="B4" s="95">
        <v>0</v>
      </c>
      <c r="C4">
        <f>SUM(B$4:$B4)</f>
        <v>0</v>
      </c>
      <c r="D4">
        <f>($B$1-A4)*B4</f>
        <v>0</v>
      </c>
      <c r="E4">
        <f>SUM($D$4:D4)</f>
        <v>0</v>
      </c>
      <c r="F4" s="96">
        <f t="shared" ref="F4:F31" si="0">D4/$E$31</f>
        <v>0</v>
      </c>
      <c r="G4" s="96">
        <f t="shared" ref="G4:G52" si="1">B4/8760</f>
        <v>0</v>
      </c>
    </row>
    <row r="5" spans="1:12">
      <c r="A5" s="94">
        <f t="shared" ref="A5:A51" si="2">A4+1</f>
        <v>-11</v>
      </c>
      <c r="B5" s="95">
        <v>0</v>
      </c>
      <c r="C5">
        <f>SUM(B$4:$B5)</f>
        <v>0</v>
      </c>
      <c r="D5">
        <f t="shared" ref="D5:D32" si="3">($B$1-A5)*B5</f>
        <v>0</v>
      </c>
      <c r="E5">
        <f>SUM($D$4:D5)</f>
        <v>0</v>
      </c>
      <c r="F5" s="96">
        <f t="shared" si="0"/>
        <v>0</v>
      </c>
      <c r="G5" s="96">
        <f t="shared" si="1"/>
        <v>0</v>
      </c>
    </row>
    <row r="6" spans="1:12">
      <c r="A6" s="94">
        <f t="shared" si="2"/>
        <v>-10</v>
      </c>
      <c r="B6" s="95">
        <v>0</v>
      </c>
      <c r="C6">
        <f>SUM(B$4:$B6)</f>
        <v>0</v>
      </c>
      <c r="D6">
        <f t="shared" si="3"/>
        <v>0</v>
      </c>
      <c r="E6">
        <f>SUM($D$4:D6)</f>
        <v>0</v>
      </c>
      <c r="F6" s="96">
        <f t="shared" si="0"/>
        <v>0</v>
      </c>
      <c r="G6" s="96">
        <f t="shared" si="1"/>
        <v>0</v>
      </c>
      <c r="J6" s="92"/>
      <c r="K6" s="92"/>
      <c r="L6" s="84"/>
    </row>
    <row r="7" spans="1:12">
      <c r="A7" s="94">
        <f t="shared" si="2"/>
        <v>-9</v>
      </c>
      <c r="B7" s="95">
        <v>0</v>
      </c>
      <c r="C7">
        <f>SUM(B$4:$B7)</f>
        <v>0</v>
      </c>
      <c r="D7">
        <f t="shared" si="3"/>
        <v>0</v>
      </c>
      <c r="E7">
        <f>SUM($D$4:D7)</f>
        <v>0</v>
      </c>
      <c r="F7" s="96">
        <f t="shared" si="0"/>
        <v>0</v>
      </c>
      <c r="G7" s="96">
        <f t="shared" si="1"/>
        <v>0</v>
      </c>
    </row>
    <row r="8" spans="1:12">
      <c r="A8" s="94">
        <f t="shared" si="2"/>
        <v>-8</v>
      </c>
      <c r="B8" s="95">
        <v>0</v>
      </c>
      <c r="C8">
        <f>SUM(B$4:$B8)</f>
        <v>0</v>
      </c>
      <c r="D8">
        <f t="shared" si="3"/>
        <v>0</v>
      </c>
      <c r="E8">
        <f>SUM($D$4:D8)</f>
        <v>0</v>
      </c>
      <c r="F8" s="96">
        <f t="shared" si="0"/>
        <v>0</v>
      </c>
      <c r="G8" s="96">
        <f t="shared" si="1"/>
        <v>0</v>
      </c>
    </row>
    <row r="9" spans="1:12">
      <c r="A9" s="94">
        <f t="shared" si="2"/>
        <v>-7</v>
      </c>
      <c r="B9" s="95">
        <v>0</v>
      </c>
      <c r="C9">
        <f>SUM(B$4:$B9)</f>
        <v>0</v>
      </c>
      <c r="D9">
        <f t="shared" si="3"/>
        <v>0</v>
      </c>
      <c r="E9">
        <f>SUM($D$4:D9)</f>
        <v>0</v>
      </c>
      <c r="F9" s="96">
        <f t="shared" si="0"/>
        <v>0</v>
      </c>
      <c r="G9" s="96">
        <f t="shared" si="1"/>
        <v>0</v>
      </c>
    </row>
    <row r="10" spans="1:12">
      <c r="A10" s="94">
        <f t="shared" si="2"/>
        <v>-6</v>
      </c>
      <c r="B10" s="95">
        <v>0</v>
      </c>
      <c r="C10">
        <f>SUM(B$4:$B10)</f>
        <v>0</v>
      </c>
      <c r="D10">
        <f t="shared" si="3"/>
        <v>0</v>
      </c>
      <c r="E10">
        <f>SUM($D$4:D10)</f>
        <v>0</v>
      </c>
      <c r="F10" s="96">
        <f t="shared" si="0"/>
        <v>0</v>
      </c>
      <c r="G10" s="96">
        <f t="shared" si="1"/>
        <v>0</v>
      </c>
    </row>
    <row r="11" spans="1:12">
      <c r="A11" s="94">
        <f t="shared" si="2"/>
        <v>-5</v>
      </c>
      <c r="B11" s="95">
        <v>0</v>
      </c>
      <c r="C11">
        <f>SUM(B$4:$B11)</f>
        <v>0</v>
      </c>
      <c r="D11">
        <f t="shared" si="3"/>
        <v>0</v>
      </c>
      <c r="E11">
        <f>SUM($D$4:D11)</f>
        <v>0</v>
      </c>
      <c r="F11" s="96">
        <f t="shared" si="0"/>
        <v>0</v>
      </c>
      <c r="G11" s="96">
        <f t="shared" si="1"/>
        <v>0</v>
      </c>
    </row>
    <row r="12" spans="1:12">
      <c r="A12" s="94">
        <f t="shared" si="2"/>
        <v>-4</v>
      </c>
      <c r="B12" s="95">
        <v>0</v>
      </c>
      <c r="C12">
        <f>SUM(B$4:$B12)</f>
        <v>0</v>
      </c>
      <c r="D12">
        <f t="shared" si="3"/>
        <v>0</v>
      </c>
      <c r="E12">
        <f>SUM($D$4:D12)</f>
        <v>0</v>
      </c>
      <c r="F12" s="96">
        <f t="shared" si="0"/>
        <v>0</v>
      </c>
      <c r="G12" s="96">
        <f t="shared" si="1"/>
        <v>0</v>
      </c>
    </row>
    <row r="13" spans="1:12">
      <c r="A13" s="94">
        <f t="shared" si="2"/>
        <v>-3</v>
      </c>
      <c r="B13" s="95">
        <v>4</v>
      </c>
      <c r="C13">
        <f>SUM(B$4:$B13)</f>
        <v>4</v>
      </c>
      <c r="D13">
        <f>($B$1-A13)*B13</f>
        <v>76</v>
      </c>
      <c r="E13">
        <f>SUM($D$4:D13)</f>
        <v>76</v>
      </c>
      <c r="F13" s="96">
        <f>D13/$E$31</f>
        <v>1.3629108907339993E-3</v>
      </c>
      <c r="G13" s="96">
        <f t="shared" si="1"/>
        <v>4.5662100456621003E-4</v>
      </c>
    </row>
    <row r="14" spans="1:12">
      <c r="A14" s="94">
        <f t="shared" si="2"/>
        <v>-2</v>
      </c>
      <c r="B14" s="95">
        <v>14</v>
      </c>
      <c r="C14">
        <f>SUM(B$4:$B14)</f>
        <v>18</v>
      </c>
      <c r="D14">
        <f>($B$1-A14)*B14</f>
        <v>252</v>
      </c>
      <c r="E14">
        <f>SUM($D$4:D14)</f>
        <v>328</v>
      </c>
      <c r="F14" s="96">
        <f>D14/$E$31</f>
        <v>4.5191255850653657E-3</v>
      </c>
      <c r="G14" s="96">
        <f t="shared" si="1"/>
        <v>1.5981735159817352E-3</v>
      </c>
    </row>
    <row r="15" spans="1:12">
      <c r="A15" s="94">
        <f t="shared" si="2"/>
        <v>-1</v>
      </c>
      <c r="B15" s="95">
        <v>44</v>
      </c>
      <c r="C15">
        <f>SUM(B$4:$B15)</f>
        <v>62</v>
      </c>
      <c r="D15">
        <f t="shared" si="3"/>
        <v>748</v>
      </c>
      <c r="E15">
        <f>SUM($D$4:D15)</f>
        <v>1076</v>
      </c>
      <c r="F15" s="96">
        <f t="shared" si="0"/>
        <v>1.3413912450908309E-2</v>
      </c>
      <c r="G15" s="96">
        <f t="shared" si="1"/>
        <v>5.0228310502283104E-3</v>
      </c>
    </row>
    <row r="16" spans="1:12">
      <c r="A16" s="94">
        <f t="shared" si="2"/>
        <v>0</v>
      </c>
      <c r="B16" s="95">
        <v>112</v>
      </c>
      <c r="C16">
        <f>SUM(B$4:$B16)</f>
        <v>174</v>
      </c>
      <c r="D16">
        <f t="shared" si="3"/>
        <v>1792</v>
      </c>
      <c r="E16">
        <f>SUM($D$4:D16)</f>
        <v>2868</v>
      </c>
      <c r="F16" s="96">
        <f t="shared" si="0"/>
        <v>3.2136004160464825E-2</v>
      </c>
      <c r="G16" s="96">
        <f t="shared" si="1"/>
        <v>1.2785388127853882E-2</v>
      </c>
    </row>
    <row r="17" spans="1:7">
      <c r="A17" s="94">
        <f t="shared" si="2"/>
        <v>1</v>
      </c>
      <c r="B17" s="95">
        <v>146</v>
      </c>
      <c r="C17">
        <f>SUM(B$4:$B17)</f>
        <v>320</v>
      </c>
      <c r="D17">
        <f t="shared" si="3"/>
        <v>2190</v>
      </c>
      <c r="E17">
        <f>SUM($D$4:D17)</f>
        <v>5058</v>
      </c>
      <c r="F17" s="96">
        <f t="shared" si="0"/>
        <v>3.927335329878235E-2</v>
      </c>
      <c r="G17" s="96">
        <f t="shared" si="1"/>
        <v>1.6666666666666666E-2</v>
      </c>
    </row>
    <row r="18" spans="1:7">
      <c r="A18" s="94">
        <f t="shared" si="2"/>
        <v>2</v>
      </c>
      <c r="B18" s="95">
        <v>222</v>
      </c>
      <c r="C18">
        <f>SUM(B$4:$B18)</f>
        <v>542</v>
      </c>
      <c r="D18">
        <f t="shared" si="3"/>
        <v>3108</v>
      </c>
      <c r="E18">
        <f>SUM($D$4:D18)</f>
        <v>8166</v>
      </c>
      <c r="F18" s="96">
        <f>D18/$E$31</f>
        <v>5.5735882215806179E-2</v>
      </c>
      <c r="G18" s="96">
        <f t="shared" si="1"/>
        <v>2.5342465753424658E-2</v>
      </c>
    </row>
    <row r="19" spans="1:7">
      <c r="A19" s="94">
        <f t="shared" si="2"/>
        <v>3</v>
      </c>
      <c r="B19" s="95">
        <v>323</v>
      </c>
      <c r="C19">
        <f>SUM(B$4:$B19)</f>
        <v>865</v>
      </c>
      <c r="D19">
        <f t="shared" si="3"/>
        <v>4199</v>
      </c>
      <c r="E19">
        <f>SUM($D$4:D19)</f>
        <v>12365</v>
      </c>
      <c r="F19" s="96">
        <f t="shared" si="0"/>
        <v>7.5300826713053465E-2</v>
      </c>
      <c r="G19" s="96">
        <f t="shared" si="1"/>
        <v>3.6872146118721458E-2</v>
      </c>
    </row>
    <row r="20" spans="1:7">
      <c r="A20" s="94">
        <f t="shared" si="2"/>
        <v>4</v>
      </c>
      <c r="B20" s="95">
        <v>400</v>
      </c>
      <c r="C20">
        <f>SUM(B$4:$B20)</f>
        <v>1265</v>
      </c>
      <c r="D20">
        <f t="shared" si="3"/>
        <v>4800</v>
      </c>
      <c r="E20">
        <f>SUM($D$4:D20)</f>
        <v>17165</v>
      </c>
      <c r="F20" s="96">
        <f t="shared" si="0"/>
        <v>8.6078582572673631E-2</v>
      </c>
      <c r="G20" s="96">
        <f t="shared" si="1"/>
        <v>4.5662100456621002E-2</v>
      </c>
    </row>
    <row r="21" spans="1:7">
      <c r="A21" s="94">
        <f t="shared" si="2"/>
        <v>5</v>
      </c>
      <c r="B21" s="95">
        <v>446</v>
      </c>
      <c r="C21">
        <f>SUM(B$4:$B21)</f>
        <v>1711</v>
      </c>
      <c r="D21">
        <f t="shared" si="3"/>
        <v>4906</v>
      </c>
      <c r="E21">
        <f>SUM($D$4:D21)</f>
        <v>22071</v>
      </c>
      <c r="F21" s="96">
        <f t="shared" si="0"/>
        <v>8.7979484604486846E-2</v>
      </c>
      <c r="G21" s="96">
        <f t="shared" si="1"/>
        <v>5.0913242009132421E-2</v>
      </c>
    </row>
    <row r="22" spans="1:7">
      <c r="A22" s="94">
        <f t="shared" si="2"/>
        <v>6</v>
      </c>
      <c r="B22" s="95">
        <v>545</v>
      </c>
      <c r="C22">
        <f>SUM(B$4:$B22)</f>
        <v>2256</v>
      </c>
      <c r="D22">
        <f t="shared" si="3"/>
        <v>5450</v>
      </c>
      <c r="E22">
        <f>SUM($D$4:D22)</f>
        <v>27521</v>
      </c>
      <c r="F22" s="96">
        <f t="shared" si="0"/>
        <v>9.7735057296056527E-2</v>
      </c>
      <c r="G22" s="96">
        <f t="shared" si="1"/>
        <v>6.2214611872146115E-2</v>
      </c>
    </row>
    <row r="23" spans="1:7">
      <c r="A23" s="94">
        <f t="shared" si="2"/>
        <v>7</v>
      </c>
      <c r="B23" s="95">
        <v>603</v>
      </c>
      <c r="C23">
        <f>SUM(B$4:$B23)</f>
        <v>2859</v>
      </c>
      <c r="D23">
        <f t="shared" si="3"/>
        <v>5427</v>
      </c>
      <c r="E23">
        <f>SUM($D$4:D23)</f>
        <v>32948</v>
      </c>
      <c r="F23" s="96">
        <f t="shared" si="0"/>
        <v>9.7322597421229132E-2</v>
      </c>
      <c r="G23" s="96">
        <f t="shared" si="1"/>
        <v>6.8835616438356159E-2</v>
      </c>
    </row>
    <row r="24" spans="1:7">
      <c r="A24" s="94">
        <f t="shared" si="2"/>
        <v>8</v>
      </c>
      <c r="B24" s="95">
        <v>658</v>
      </c>
      <c r="C24">
        <f>SUM(B$4:$B24)</f>
        <v>3517</v>
      </c>
      <c r="D24">
        <f t="shared" si="3"/>
        <v>5264</v>
      </c>
      <c r="E24">
        <f>SUM($D$4:D24)</f>
        <v>38212</v>
      </c>
      <c r="F24" s="96">
        <f t="shared" si="0"/>
        <v>9.4399512221365417E-2</v>
      </c>
      <c r="G24" s="96">
        <f t="shared" si="1"/>
        <v>7.5114155251141554E-2</v>
      </c>
    </row>
    <row r="25" spans="1:7">
      <c r="A25" s="94">
        <f t="shared" si="2"/>
        <v>9</v>
      </c>
      <c r="B25" s="95">
        <v>681</v>
      </c>
      <c r="C25">
        <f>SUM(B$4:$B25)</f>
        <v>4198</v>
      </c>
      <c r="D25">
        <f t="shared" si="3"/>
        <v>4767</v>
      </c>
      <c r="E25">
        <f>SUM($D$4:D25)</f>
        <v>42979</v>
      </c>
      <c r="F25" s="96">
        <f t="shared" si="0"/>
        <v>8.5486792317486501E-2</v>
      </c>
      <c r="G25" s="96">
        <f t="shared" si="1"/>
        <v>7.773972602739726E-2</v>
      </c>
    </row>
    <row r="26" spans="1:7">
      <c r="A26" s="94">
        <f t="shared" si="2"/>
        <v>10</v>
      </c>
      <c r="B26" s="95">
        <v>639</v>
      </c>
      <c r="C26">
        <f>SUM(B$4:$B26)</f>
        <v>4837</v>
      </c>
      <c r="D26">
        <f t="shared" si="3"/>
        <v>3834</v>
      </c>
      <c r="E26">
        <f>SUM($D$4:D26)</f>
        <v>46813</v>
      </c>
      <c r="F26" s="96">
        <f t="shared" si="0"/>
        <v>6.875526782992307E-2</v>
      </c>
      <c r="G26" s="96">
        <f t="shared" si="1"/>
        <v>7.294520547945206E-2</v>
      </c>
    </row>
    <row r="27" spans="1:7">
      <c r="A27" s="94">
        <f t="shared" si="2"/>
        <v>11</v>
      </c>
      <c r="B27" s="95">
        <v>660</v>
      </c>
      <c r="C27">
        <f>SUM(B$4:$B27)</f>
        <v>5497</v>
      </c>
      <c r="D27">
        <f t="shared" si="3"/>
        <v>3300</v>
      </c>
      <c r="E27">
        <f>SUM($D$4:D27)</f>
        <v>50113</v>
      </c>
      <c r="F27" s="96">
        <f t="shared" si="0"/>
        <v>5.9179025518713124E-2</v>
      </c>
      <c r="G27" s="96">
        <f t="shared" si="1"/>
        <v>7.5342465753424653E-2</v>
      </c>
    </row>
    <row r="28" spans="1:7">
      <c r="A28" s="94">
        <f t="shared" si="2"/>
        <v>12</v>
      </c>
      <c r="B28" s="95">
        <v>610</v>
      </c>
      <c r="C28">
        <f>SUM(B$4:$B28)</f>
        <v>6107</v>
      </c>
      <c r="D28">
        <f t="shared" si="3"/>
        <v>2440</v>
      </c>
      <c r="E28">
        <f>SUM($D$4:D28)</f>
        <v>52553</v>
      </c>
      <c r="F28" s="96">
        <f t="shared" si="0"/>
        <v>4.3756612807775763E-2</v>
      </c>
      <c r="G28" s="96">
        <f t="shared" si="1"/>
        <v>6.9634703196347028E-2</v>
      </c>
    </row>
    <row r="29" spans="1:7">
      <c r="A29" s="94">
        <f t="shared" si="2"/>
        <v>13</v>
      </c>
      <c r="B29" s="95">
        <v>582</v>
      </c>
      <c r="C29">
        <f>SUM(B$4:$B29)</f>
        <v>6689</v>
      </c>
      <c r="D29">
        <f t="shared" si="3"/>
        <v>1746</v>
      </c>
      <c r="E29">
        <f>SUM($D$4:D29)</f>
        <v>54299</v>
      </c>
      <c r="F29" s="96">
        <f t="shared" si="0"/>
        <v>3.1311084410810035E-2</v>
      </c>
      <c r="G29" s="96">
        <f t="shared" si="1"/>
        <v>6.6438356164383566E-2</v>
      </c>
    </row>
    <row r="30" spans="1:7">
      <c r="A30" s="94">
        <f t="shared" si="2"/>
        <v>14</v>
      </c>
      <c r="B30" s="95">
        <v>481</v>
      </c>
      <c r="C30">
        <f>SUM(B$4:$B30)</f>
        <v>7170</v>
      </c>
      <c r="D30">
        <f t="shared" si="3"/>
        <v>962</v>
      </c>
      <c r="E30">
        <f>SUM($D$4:D30)</f>
        <v>55261</v>
      </c>
      <c r="F30" s="96">
        <f t="shared" si="0"/>
        <v>1.7251582590606676E-2</v>
      </c>
      <c r="G30" s="96">
        <f t="shared" si="1"/>
        <v>5.4908675799086759E-2</v>
      </c>
    </row>
    <row r="31" spans="1:7">
      <c r="A31" s="94">
        <f t="shared" si="2"/>
        <v>15</v>
      </c>
      <c r="B31" s="95">
        <v>502</v>
      </c>
      <c r="C31">
        <f>SUM(B$4:$B31)</f>
        <v>7672</v>
      </c>
      <c r="D31">
        <f t="shared" si="3"/>
        <v>502</v>
      </c>
      <c r="E31">
        <f>SUM($D$4:D31)</f>
        <v>55763</v>
      </c>
      <c r="F31" s="96">
        <f t="shared" si="0"/>
        <v>9.002385094058785E-3</v>
      </c>
      <c r="G31" s="96">
        <f t="shared" si="1"/>
        <v>5.7305936073059359E-2</v>
      </c>
    </row>
    <row r="32" spans="1:7">
      <c r="A32" s="94">
        <f t="shared" si="2"/>
        <v>16</v>
      </c>
      <c r="B32" s="95">
        <v>383</v>
      </c>
      <c r="C32">
        <f>SUM(B$4:$B32)</f>
        <v>8055</v>
      </c>
      <c r="D32">
        <f t="shared" si="3"/>
        <v>0</v>
      </c>
      <c r="G32" s="96">
        <f t="shared" si="1"/>
        <v>4.3721461187214615E-2</v>
      </c>
    </row>
    <row r="33" spans="1:7">
      <c r="A33" s="94">
        <f t="shared" si="2"/>
        <v>17</v>
      </c>
      <c r="B33" s="95">
        <v>259</v>
      </c>
      <c r="C33">
        <f>SUM(B$4:$B33)</f>
        <v>8314</v>
      </c>
      <c r="G33" s="96">
        <f t="shared" si="1"/>
        <v>2.9566210045662102E-2</v>
      </c>
    </row>
    <row r="34" spans="1:7">
      <c r="A34" s="94">
        <f t="shared" si="2"/>
        <v>18</v>
      </c>
      <c r="B34" s="95">
        <v>170</v>
      </c>
      <c r="C34">
        <f>SUM(B$4:$B34)</f>
        <v>8484</v>
      </c>
      <c r="G34" s="96">
        <f t="shared" si="1"/>
        <v>1.9406392694063926E-2</v>
      </c>
    </row>
    <row r="35" spans="1:7">
      <c r="A35" s="94">
        <f t="shared" si="2"/>
        <v>19</v>
      </c>
      <c r="B35" s="95">
        <v>112</v>
      </c>
      <c r="C35">
        <f>SUM(B$4:$B35)</f>
        <v>8596</v>
      </c>
      <c r="G35" s="96">
        <f t="shared" si="1"/>
        <v>1.2785388127853882E-2</v>
      </c>
    </row>
    <row r="36" spans="1:7">
      <c r="A36" s="94">
        <f t="shared" si="2"/>
        <v>20</v>
      </c>
      <c r="B36" s="95">
        <v>67</v>
      </c>
      <c r="C36">
        <f>SUM(B$4:$B36)</f>
        <v>8663</v>
      </c>
      <c r="G36" s="96">
        <f t="shared" si="1"/>
        <v>7.6484018264840184E-3</v>
      </c>
    </row>
    <row r="37" spans="1:7">
      <c r="A37" s="94">
        <f t="shared" si="2"/>
        <v>21</v>
      </c>
      <c r="B37" s="95">
        <v>37</v>
      </c>
      <c r="C37">
        <f>SUM(B$4:$B37)</f>
        <v>8700</v>
      </c>
      <c r="G37" s="96">
        <f t="shared" si="1"/>
        <v>4.2237442922374432E-3</v>
      </c>
    </row>
    <row r="38" spans="1:7">
      <c r="A38" s="94">
        <f t="shared" si="2"/>
        <v>22</v>
      </c>
      <c r="B38" s="95">
        <v>27</v>
      </c>
      <c r="C38">
        <f>SUM(B$4:$B38)</f>
        <v>8727</v>
      </c>
      <c r="G38" s="96">
        <f t="shared" si="1"/>
        <v>3.0821917808219177E-3</v>
      </c>
    </row>
    <row r="39" spans="1:7">
      <c r="A39" s="94">
        <f t="shared" si="2"/>
        <v>23</v>
      </c>
      <c r="B39" s="95">
        <v>20</v>
      </c>
      <c r="C39">
        <f>SUM(B$4:$B39)</f>
        <v>8747</v>
      </c>
      <c r="G39" s="96">
        <f t="shared" si="1"/>
        <v>2.2831050228310501E-3</v>
      </c>
    </row>
    <row r="40" spans="1:7">
      <c r="A40" s="94">
        <f t="shared" si="2"/>
        <v>24</v>
      </c>
      <c r="B40" s="95">
        <v>13</v>
      </c>
      <c r="C40">
        <f>SUM(B$4:$B40)</f>
        <v>8760</v>
      </c>
      <c r="G40" s="96">
        <f t="shared" si="1"/>
        <v>1.4840182648401827E-3</v>
      </c>
    </row>
    <row r="41" spans="1:7">
      <c r="A41" s="94">
        <f t="shared" si="2"/>
        <v>25</v>
      </c>
      <c r="B41" s="95">
        <v>0</v>
      </c>
      <c r="C41">
        <f>SUM(B$4:$B41)</f>
        <v>8760</v>
      </c>
      <c r="G41" s="96">
        <f t="shared" si="1"/>
        <v>0</v>
      </c>
    </row>
    <row r="42" spans="1:7">
      <c r="A42" s="94">
        <f t="shared" si="2"/>
        <v>26</v>
      </c>
      <c r="B42" s="95">
        <v>0</v>
      </c>
      <c r="C42">
        <f>SUM(B$4:$B42)</f>
        <v>8760</v>
      </c>
      <c r="G42" s="96">
        <f t="shared" si="1"/>
        <v>0</v>
      </c>
    </row>
    <row r="43" spans="1:7">
      <c r="A43" s="94">
        <f t="shared" si="2"/>
        <v>27</v>
      </c>
      <c r="B43" s="95">
        <v>0</v>
      </c>
      <c r="C43">
        <f>SUM(B$4:$B43)</f>
        <v>8760</v>
      </c>
      <c r="G43" s="96">
        <f t="shared" si="1"/>
        <v>0</v>
      </c>
    </row>
    <row r="44" spans="1:7">
      <c r="A44" s="94">
        <f t="shared" si="2"/>
        <v>28</v>
      </c>
      <c r="B44" s="95">
        <v>0</v>
      </c>
      <c r="C44">
        <f>SUM(B$4:$B44)</f>
        <v>8760</v>
      </c>
      <c r="G44" s="96">
        <f t="shared" si="1"/>
        <v>0</v>
      </c>
    </row>
    <row r="45" spans="1:7">
      <c r="A45" s="94">
        <f t="shared" si="2"/>
        <v>29</v>
      </c>
      <c r="B45" s="95">
        <v>0</v>
      </c>
      <c r="C45">
        <f>SUM(B$4:$B45)</f>
        <v>8760</v>
      </c>
      <c r="G45" s="96">
        <f t="shared" si="1"/>
        <v>0</v>
      </c>
    </row>
    <row r="46" spans="1:7">
      <c r="A46" s="94">
        <f t="shared" si="2"/>
        <v>30</v>
      </c>
      <c r="B46" s="95">
        <v>0</v>
      </c>
      <c r="C46">
        <f>SUM(B$4:$B46)</f>
        <v>8760</v>
      </c>
      <c r="G46" s="96">
        <f t="shared" si="1"/>
        <v>0</v>
      </c>
    </row>
    <row r="47" spans="1:7">
      <c r="A47" s="94">
        <f t="shared" si="2"/>
        <v>31</v>
      </c>
      <c r="B47" s="95">
        <v>0</v>
      </c>
      <c r="C47">
        <f>SUM(B$4:$B47)</f>
        <v>8760</v>
      </c>
      <c r="G47" s="96">
        <f t="shared" si="1"/>
        <v>0</v>
      </c>
    </row>
    <row r="48" spans="1:7">
      <c r="A48" s="94">
        <f t="shared" si="2"/>
        <v>32</v>
      </c>
      <c r="B48" s="95">
        <v>0</v>
      </c>
      <c r="C48">
        <f>SUM(B$4:$B48)</f>
        <v>8760</v>
      </c>
      <c r="G48" s="96">
        <f t="shared" si="1"/>
        <v>0</v>
      </c>
    </row>
    <row r="49" spans="1:7">
      <c r="A49" s="94">
        <f t="shared" si="2"/>
        <v>33</v>
      </c>
      <c r="B49" s="95">
        <v>0</v>
      </c>
      <c r="C49">
        <f>SUM(B$4:$B49)</f>
        <v>8760</v>
      </c>
      <c r="G49" s="96">
        <f t="shared" si="1"/>
        <v>0</v>
      </c>
    </row>
    <row r="50" spans="1:7">
      <c r="A50" s="94">
        <f t="shared" si="2"/>
        <v>34</v>
      </c>
      <c r="B50" s="95">
        <v>0</v>
      </c>
      <c r="C50">
        <f>SUM(B$4:$B50)</f>
        <v>8760</v>
      </c>
      <c r="G50" s="96">
        <f t="shared" si="1"/>
        <v>0</v>
      </c>
    </row>
    <row r="51" spans="1:7">
      <c r="A51" s="94">
        <f t="shared" si="2"/>
        <v>35</v>
      </c>
      <c r="B51" s="95">
        <v>0</v>
      </c>
      <c r="C51">
        <f>SUM(B$4:$B51)</f>
        <v>8760</v>
      </c>
      <c r="G51" s="96">
        <f t="shared" si="1"/>
        <v>0</v>
      </c>
    </row>
    <row r="52" spans="1:7">
      <c r="G52" s="96">
        <f t="shared" si="1"/>
        <v>0</v>
      </c>
    </row>
  </sheetData>
  <sheetProtection algorithmName="SHA-512" hashValue="yY/XUXI9d+D3O1MlOgr4/1O5aCqatClud2KbFLxmNX0Mpg0akIHDHmsoF70NNjwOxle3ld+UR5zo+ICQd02lpQ==" saltValue="pcIdC4Nd4RDVUAZG4Gittg==" spinCount="100000" sheet="1" objects="1" scenarios="1"/>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9" ma:contentTypeDescription="Create a new document." ma:contentTypeScope="" ma:versionID="18769d1cd5fb585bbe3d3addca2c680d">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257fa36fcdcb0cb1b8fb666860249e4b"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Props1.xml><?xml version="1.0" encoding="utf-8"?>
<ds:datastoreItem xmlns:ds="http://schemas.openxmlformats.org/officeDocument/2006/customXml" ds:itemID="{2ED02C98-3967-4EE7-B558-7B21CB4ECB69}"/>
</file>

<file path=customXml/itemProps2.xml><?xml version="1.0" encoding="utf-8"?>
<ds:datastoreItem xmlns:ds="http://schemas.openxmlformats.org/officeDocument/2006/customXml" ds:itemID="{09FE4653-8DAA-4327-B3D8-40E79146D613}"/>
</file>

<file path=customXml/itemProps3.xml><?xml version="1.0" encoding="utf-8"?>
<ds:datastoreItem xmlns:ds="http://schemas.openxmlformats.org/officeDocument/2006/customXml" ds:itemID="{EEE1B8F5-1F91-4319-BC75-1360288FC2E7}"/>
</file>

<file path=customXml/itemProps4.xml><?xml version="1.0" encoding="utf-8"?>
<ds:datastoreItem xmlns:ds="http://schemas.openxmlformats.org/officeDocument/2006/customXml" ds:itemID="{15966DA3-74D7-4FF9-BF98-D1EA95546DE0}"/>
</file>

<file path=docProps/app.xml><?xml version="1.0" encoding="utf-8"?>
<Properties xmlns="http://schemas.openxmlformats.org/officeDocument/2006/extended-properties" xmlns:vt="http://schemas.openxmlformats.org/officeDocument/2006/docPropsVTypes">
  <Application>Microsoft Excel Online</Application>
  <Manager/>
  <Company>Emerald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
  <cp:revision/>
  <dcterms:created xsi:type="dcterms:W3CDTF">2005-07-16T12:33:31Z</dcterms:created>
  <dcterms:modified xsi:type="dcterms:W3CDTF">2024-07-26T14:46:02Z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