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5.xml" ContentType="application/vnd.openxmlformats-officedocument.spreadsheetml.comments+xml"/>
  <Override PartName="/xl/charts/chart4.xml" ContentType="application/vnd.openxmlformats-officedocument.drawingml.chart+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C:\Users\Ocoyle\OneDrive - SEAI\NZEB Part L\Domestic\DEAP Development\TGD Publication\"/>
    </mc:Choice>
  </mc:AlternateContent>
  <xr:revisionPtr revIDLastSave="7" documentId="8_{30560626-053E-42F5-99E7-A16842EEBB3C}" xr6:coauthVersionLast="36" xr6:coauthVersionMax="36" xr10:uidLastSave="{C78D2206-C236-475D-8CC0-C0597C4980F6}"/>
  <bookViews>
    <workbookView xWindow="0" yWindow="0" windowWidth="20490" windowHeight="7230" tabRatio="788" xr2:uid="{00000000-000D-0000-FFFF-FFFF00000000}"/>
  </bookViews>
  <sheets>
    <sheet name="Cov" sheetId="40" r:id="rId1"/>
    <sheet name="Code" sheetId="56" r:id="rId2"/>
    <sheet name="Proj" sheetId="39" r:id="rId3"/>
    <sheet name="Dim" sheetId="4" r:id="rId4"/>
    <sheet name="Vent" sheetId="14" r:id="rId5"/>
    <sheet name="Win" sheetId="6" r:id="rId6"/>
    <sheet name="Fab" sheetId="15" r:id="rId7"/>
    <sheet name="WH" sheetId="7" r:id="rId8"/>
    <sheet name="Light" sheetId="11" r:id="rId9"/>
    <sheet name="HtUse" sheetId="36" r:id="rId10"/>
    <sheet name="SH" sheetId="8" r:id="rId11"/>
    <sheet name="ER1" sheetId="13" r:id="rId12"/>
    <sheet name="ER2" sheetId="24" r:id="rId13"/>
    <sheet name="Result" sheetId="32" r:id="rId14"/>
    <sheet name="RER" sheetId="47" r:id="rId15"/>
    <sheet name="Fuel" sheetId="33" r:id="rId16"/>
    <sheet name="SWH" sheetId="37" r:id="rId17"/>
    <sheet name="Summer" sheetId="41" r:id="rId18"/>
    <sheet name="HP" sheetId="52" r:id="rId19"/>
    <sheet name="Heating Calc" sheetId="53" r:id="rId20"/>
    <sheet name="DHW Calc" sheetId="54" r:id="rId21"/>
    <sheet name="Meteorological data" sheetId="55" r:id="rId22"/>
    <sheet name="Rpt" sheetId="58" r:id="rId23"/>
    <sheet name="Sheet1" sheetId="44" r:id="rId24"/>
  </sheets>
  <externalReferences>
    <externalReference r:id="rId25"/>
    <externalReference r:id="rId26"/>
    <externalReference r:id="rId27"/>
  </externalReferences>
  <definedNames>
    <definedName name="_40">[1]Calculation!#REF!</definedName>
    <definedName name="_41">#REF!</definedName>
    <definedName name="_41a">#REF!</definedName>
    <definedName name="_42">#REF!</definedName>
    <definedName name="_43">#REF!</definedName>
    <definedName name="_44">#REF!</definedName>
    <definedName name="_44a">#REF!</definedName>
    <definedName name="_44b">#REF!</definedName>
    <definedName name="_45">[1]Calculation!$AE$28</definedName>
    <definedName name="_49">[1]Calculation!#REF!</definedName>
    <definedName name="_55">[1]Calculation!#REF!</definedName>
    <definedName name="_56">#REF!</definedName>
    <definedName name="_58">[1]Calculation!#REF!</definedName>
    <definedName name="_A">[1]Calculation!$Z$1:$Z$65536</definedName>
    <definedName name="_Act_occ">[1]Calculator!$L$37</definedName>
    <definedName name="_B">[1]Calculation!$AA$1:$AA$65536</definedName>
    <definedName name="_Backup_eff">[1]Calculator!$L$92</definedName>
    <definedName name="_C">[1]Calculation!$AB$1:$AB$65536</definedName>
    <definedName name="_cyl_loss">[1]Calculator!$L$34</definedName>
    <definedName name="_eshower">[1]Calculation!#REF!</definedName>
    <definedName name="_xlnm._FilterDatabase" localSheetId="20" hidden="1">'DHW Calc'!$L$1:$N$4</definedName>
    <definedName name="_xlnm._FilterDatabase" localSheetId="15" hidden="1">Fuel!$A$3:$K$25</definedName>
    <definedName name="_xlnm._FilterDatabase" localSheetId="19" hidden="1">'Heating Calc'!$A$1:$AD$56</definedName>
    <definedName name="_xlnm._FilterDatabase" localSheetId="21" hidden="1">'Meteorological data'!$J$1:$L$1</definedName>
    <definedName name="_H1">[1]Calculator!$F$15</definedName>
    <definedName name="_H10">[1]Calculation!$AI$1:$AI$65536</definedName>
    <definedName name="_H11">[1]Calculator!$F$27</definedName>
    <definedName name="_H12">[1]Calculator!$F$26</definedName>
    <definedName name="_H13">[1]Calculation!$AJ$1:$AJ$65536</definedName>
    <definedName name="_H14">[1]Calculation!$AD$28</definedName>
    <definedName name="_H15">[1]Calculation!$AK$1:$AK$65536</definedName>
    <definedName name="_H16">[1]Calculation!$AL$1:$AL$65536</definedName>
    <definedName name="_H2">[1]Calculator!$F$16</definedName>
    <definedName name="_H3">[1]Calculator!$F$17</definedName>
    <definedName name="_H3a">[1]Calculator!$F$18</definedName>
    <definedName name="_H3b">[1]Calculation!$AI$14</definedName>
    <definedName name="_H4">[1]Calculation!$AI$15</definedName>
    <definedName name="_H5">[1]Calculation!$N$1:$N$65536</definedName>
    <definedName name="_H6">[1]Calculator!$J$58</definedName>
    <definedName name="_H7">[1]Calculation!$AF$1:$AF$65536</definedName>
    <definedName name="_H8">[1]Calculation!$AG$28</definedName>
    <definedName name="_H9">[1]Calculation!$AH$1:$AH$65536</definedName>
    <definedName name="_HOT">[1]Calculator!$F$54</definedName>
    <definedName name="_IAM">[1]Calculator!$K$14</definedName>
    <definedName name="_IAM_L">[1]Calculator!$F$21</definedName>
    <definedName name="_IAM_T">[1]Calculator!$F$20</definedName>
    <definedName name="_K_Table">[1]Calculation!$B$86:$GA$96</definedName>
    <definedName name="_k1">[1]Calculation!$P$1:$P$65536</definedName>
    <definedName name="_k2">[1]Calculation!$Q$1:$Q$65536</definedName>
    <definedName name="_k3">[1]Calculation!$R$1:$R$65536</definedName>
    <definedName name="_k4">[1]Calculation!$S$1:$S$65536</definedName>
    <definedName name="_k5">[1]Calculation!$T$1:$T$65536</definedName>
    <definedName name="_k6">[1]Calculation!$U$1:$U$65536</definedName>
    <definedName name="_k7">[1]Calculation!$V$1:$V$65536</definedName>
    <definedName name="_k8">[1]Calculation!$W$1:$W$65536</definedName>
    <definedName name="_k9">[1]Calculation!$X$1:$X$65536</definedName>
    <definedName name="_LAT">[1]Calculation!$F$12</definedName>
    <definedName name="_LAT_rad">[1]Calculation!$F$13</definedName>
    <definedName name="_Low">[1]Calculation!#REF!</definedName>
    <definedName name="_MCS">[1]Calculation!#REF!</definedName>
    <definedName name="_N">[1]Calculator!$F$37</definedName>
    <definedName name="_Orient">[1]Calculator!$F$49</definedName>
    <definedName name="_Overshade">[1]Calculator!$E$53</definedName>
    <definedName name="_p">[1]Calculation!#REF!</definedName>
    <definedName name="_Pitch">[1]Calculator!$F$50</definedName>
    <definedName name="_primary">[1]Calculation!#REF!</definedName>
    <definedName name="_Pump">[1]Calculation!#REF!</definedName>
    <definedName name="_Qs">[1]Calculation!$AM$28</definedName>
    <definedName name="_radians">[1]Calculation!$Y$1:$Y$65536</definedName>
    <definedName name="_REGION">[1]Calculator!$F$51</definedName>
    <definedName name="_solar_saving">[1]Calculation!#REF!</definedName>
    <definedName name="_Standard_occ">[1]Calculator!$L$38</definedName>
    <definedName name="_TFA">[1]Calculator!$F$48</definedName>
    <definedName name="AUX">[1]Calculation!#REF!</definedName>
    <definedName name="compare" localSheetId="13">Result!#REF!</definedName>
    <definedName name="comply" localSheetId="13">Result!$A$22:$A$32</definedName>
    <definedName name="ctrlCat">SH!$H$6</definedName>
    <definedName name="cylVol">WH!$G$58</definedName>
    <definedName name="emissions">[1]Calculation!#REF!</definedName>
    <definedName name="fueldata">Fuel!$C$4:$H$25</definedName>
    <definedName name="HeatUse">HtUse!$F$57</definedName>
    <definedName name="hlc">Fab!$F$27</definedName>
    <definedName name="hlcRef">Fab!$P$27</definedName>
    <definedName name="HLP" localSheetId="17">#REF!</definedName>
    <definedName name="hlp">Fab!$F$28</definedName>
    <definedName name="HsLength">HtUse!$E$89</definedName>
    <definedName name="INS">#REF!</definedName>
    <definedName name="Mains_Gas">#REF!</definedName>
    <definedName name="N" localSheetId="17">#REF!</definedName>
    <definedName name="N">WH!$F$2</definedName>
    <definedName name="_xlnm.Print_Area" localSheetId="2">Proj!$A$1:$C$40</definedName>
    <definedName name="Project">[1]Calculation!#REF!</definedName>
    <definedName name="PUMP">#REF!</definedName>
    <definedName name="QH_gen_out">'[2]Climate Data'!$D$14</definedName>
    <definedName name="QW_gen_out">'[2]Climate Data'!$D$15</definedName>
    <definedName name="refList" localSheetId="13">Result!#REF!</definedName>
    <definedName name="respons">SH!$H$9</definedName>
    <definedName name="sd">#REF!</definedName>
    <definedName name="SEDBUK">[1]Calculation!#REF!</definedName>
    <definedName name="ShReqt">SH!$K$37</definedName>
    <definedName name="Tem">HtUse!$H$21</definedName>
    <definedName name="tfa">Dim!$D$9</definedName>
    <definedName name="TGDL">Proj!$C$14</definedName>
    <definedName name="Ti_seas">HtUse!$O$48</definedName>
    <definedName name="Uf_seas">HtUse!$O$51</definedName>
    <definedName name="ValidDelete">[3]Zone1!$L$1:$L$2</definedName>
    <definedName name="ValidOptions">[3]Zone1!#REF!</definedName>
    <definedName name="volume">Dim!$F$10</definedName>
    <definedName name="WhGains">WH!$F$103</definedName>
    <definedName name="WhReqt">WH!$F$100</definedName>
    <definedName name="WhReqtSup">WH!$F$101</definedName>
    <definedName name="θe_design">'[2]Climate Data'!$E$19</definedName>
  </definedNames>
  <calcPr calcId="191028"/>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60" i="13" l="1"/>
  <c r="B116" i="52" l="1"/>
  <c r="B115" i="52"/>
  <c r="H18" i="7" l="1"/>
  <c r="H17" i="7"/>
  <c r="H16" i="7"/>
  <c r="H15" i="7"/>
  <c r="H14" i="7"/>
  <c r="H23" i="14" l="1"/>
  <c r="N12" i="13" l="1"/>
  <c r="N2" i="13"/>
  <c r="S19" i="24"/>
  <c r="P19" i="24"/>
  <c r="K172" i="58" l="1"/>
  <c r="K171" i="58"/>
  <c r="K169" i="58"/>
  <c r="K168" i="58"/>
  <c r="K166" i="58"/>
  <c r="K165" i="58"/>
  <c r="F44" i="58"/>
  <c r="G44" i="58"/>
  <c r="H44" i="58"/>
  <c r="I44" i="58"/>
  <c r="J44" i="58"/>
  <c r="K44" i="58"/>
  <c r="L44" i="58"/>
  <c r="M44" i="58"/>
  <c r="E44" i="58"/>
  <c r="A36" i="58"/>
  <c r="X2" i="52" l="1"/>
  <c r="AN2" i="52"/>
  <c r="D249" i="58" l="1"/>
  <c r="D248" i="58"/>
  <c r="D247" i="58"/>
  <c r="D159" i="58"/>
  <c r="D209" i="58"/>
  <c r="K215" i="58"/>
  <c r="K217" i="58"/>
  <c r="K218" i="58"/>
  <c r="K220" i="58"/>
  <c r="K221" i="58"/>
  <c r="K214" i="58"/>
  <c r="H217" i="58"/>
  <c r="I217" i="58"/>
  <c r="H218" i="58"/>
  <c r="I218" i="58"/>
  <c r="H220" i="58"/>
  <c r="I220" i="58"/>
  <c r="H221" i="58"/>
  <c r="I221" i="58"/>
  <c r="H215" i="58"/>
  <c r="I215" i="58"/>
  <c r="I214" i="58"/>
  <c r="H214" i="58"/>
  <c r="D219" i="58"/>
  <c r="D216" i="58"/>
  <c r="D213" i="58"/>
  <c r="D208" i="58"/>
  <c r="G205" i="58"/>
  <c r="G204" i="58"/>
  <c r="G203" i="58"/>
  <c r="G200" i="58"/>
  <c r="L199" i="58"/>
  <c r="L198" i="58"/>
  <c r="G196" i="58"/>
  <c r="I193" i="58"/>
  <c r="I190" i="58"/>
  <c r="I191" i="58"/>
  <c r="I192" i="58"/>
  <c r="I189" i="58"/>
  <c r="H190" i="58"/>
  <c r="H191" i="58"/>
  <c r="H192" i="58"/>
  <c r="H189" i="58"/>
  <c r="D190" i="58"/>
  <c r="D191" i="58"/>
  <c r="D192" i="58"/>
  <c r="D189" i="58"/>
  <c r="B190" i="58"/>
  <c r="B191" i="58"/>
  <c r="B192" i="58"/>
  <c r="B189" i="58"/>
  <c r="H183" i="58"/>
  <c r="H182" i="58"/>
  <c r="H181" i="58"/>
  <c r="L178" i="58"/>
  <c r="L177" i="58"/>
  <c r="I166" i="58"/>
  <c r="I168" i="58"/>
  <c r="I169" i="58"/>
  <c r="I171" i="58"/>
  <c r="I172" i="58"/>
  <c r="H166" i="58"/>
  <c r="H168" i="58"/>
  <c r="H169" i="58"/>
  <c r="H171" i="58"/>
  <c r="H172" i="58"/>
  <c r="I165" i="58"/>
  <c r="H165" i="58"/>
  <c r="D170" i="58"/>
  <c r="D167" i="58"/>
  <c r="D164" i="58"/>
  <c r="D35" i="13"/>
  <c r="D158" i="58" s="1"/>
  <c r="D156" i="58"/>
  <c r="D157" i="58"/>
  <c r="D155" i="58"/>
  <c r="J150" i="58"/>
  <c r="J149" i="58"/>
  <c r="E144" i="58"/>
  <c r="J143" i="58"/>
  <c r="K142" i="58"/>
  <c r="J142" i="58"/>
  <c r="G140" i="58"/>
  <c r="K138" i="58"/>
  <c r="J138" i="58"/>
  <c r="J137" i="58"/>
  <c r="H138" i="58"/>
  <c r="H139" i="58"/>
  <c r="H137" i="58"/>
  <c r="G131" i="58"/>
  <c r="E126" i="58"/>
  <c r="G116" i="58"/>
  <c r="I112" i="58"/>
  <c r="I111" i="58"/>
  <c r="I110" i="58"/>
  <c r="I109" i="58"/>
  <c r="G107" i="58"/>
  <c r="G104" i="58"/>
  <c r="G102" i="58"/>
  <c r="G101" i="58"/>
  <c r="H99" i="58"/>
  <c r="H98" i="58"/>
  <c r="H96" i="58"/>
  <c r="H95" i="58"/>
  <c r="H93" i="58"/>
  <c r="E89" i="58"/>
  <c r="E86" i="58"/>
  <c r="F79" i="58"/>
  <c r="J67" i="58"/>
  <c r="J68" i="58"/>
  <c r="J69" i="58"/>
  <c r="J70" i="58"/>
  <c r="J71" i="58"/>
  <c r="J72" i="58"/>
  <c r="J73" i="58"/>
  <c r="J74" i="58"/>
  <c r="J75" i="58"/>
  <c r="J76" i="58"/>
  <c r="J65" i="58"/>
  <c r="J66" i="58"/>
  <c r="J64" i="58"/>
  <c r="G63" i="58"/>
  <c r="G64" i="58"/>
  <c r="G65" i="58"/>
  <c r="G66" i="58"/>
  <c r="G67" i="58"/>
  <c r="G68" i="58"/>
  <c r="G69" i="58"/>
  <c r="G70" i="58"/>
  <c r="G71" i="58"/>
  <c r="G72" i="58"/>
  <c r="G73" i="58"/>
  <c r="G74" i="58"/>
  <c r="G75" i="58"/>
  <c r="G76" i="58"/>
  <c r="G62" i="58"/>
  <c r="D63" i="58"/>
  <c r="E63" i="58"/>
  <c r="D64" i="58"/>
  <c r="E64" i="58"/>
  <c r="D65" i="58"/>
  <c r="E65" i="58"/>
  <c r="F65" i="58"/>
  <c r="D66" i="58"/>
  <c r="E66" i="58"/>
  <c r="F66" i="58"/>
  <c r="D67" i="58"/>
  <c r="E67" i="58"/>
  <c r="D68" i="58"/>
  <c r="E68" i="58"/>
  <c r="D69" i="58"/>
  <c r="E69" i="58"/>
  <c r="F69" i="58"/>
  <c r="D70" i="58"/>
  <c r="E70" i="58"/>
  <c r="F70" i="58"/>
  <c r="D71" i="58"/>
  <c r="E71" i="58"/>
  <c r="F71" i="58"/>
  <c r="D72" i="58"/>
  <c r="E72" i="58"/>
  <c r="D73" i="58"/>
  <c r="E73" i="58"/>
  <c r="F73" i="58"/>
  <c r="D74" i="58"/>
  <c r="E74" i="58"/>
  <c r="F74" i="58"/>
  <c r="D75" i="58"/>
  <c r="E75" i="58"/>
  <c r="F75" i="58"/>
  <c r="D76" i="58"/>
  <c r="E76" i="58"/>
  <c r="F76" i="58"/>
  <c r="F57" i="58"/>
  <c r="G57" i="58"/>
  <c r="H57" i="58"/>
  <c r="I57" i="58"/>
  <c r="J57" i="58"/>
  <c r="K57" i="58"/>
  <c r="L57" i="58"/>
  <c r="M57" i="58"/>
  <c r="E57" i="58"/>
  <c r="F56" i="58"/>
  <c r="G56" i="58"/>
  <c r="H56" i="58"/>
  <c r="I56" i="58"/>
  <c r="J56" i="58"/>
  <c r="K56" i="58"/>
  <c r="L56" i="58"/>
  <c r="M56" i="58"/>
  <c r="E56" i="58"/>
  <c r="F55" i="58"/>
  <c r="G55" i="58"/>
  <c r="H55" i="58"/>
  <c r="I55" i="58"/>
  <c r="J55" i="58"/>
  <c r="K55" i="58"/>
  <c r="L55" i="58"/>
  <c r="M55" i="58"/>
  <c r="E55" i="58"/>
  <c r="F54" i="58"/>
  <c r="G54" i="58"/>
  <c r="H54" i="58"/>
  <c r="I54" i="58"/>
  <c r="J54" i="58"/>
  <c r="K54" i="58"/>
  <c r="L54" i="58"/>
  <c r="M54" i="58"/>
  <c r="E54" i="58"/>
  <c r="F51" i="58"/>
  <c r="G51" i="58"/>
  <c r="H51" i="58"/>
  <c r="I51" i="58"/>
  <c r="J51" i="58"/>
  <c r="K51" i="58"/>
  <c r="L51" i="58"/>
  <c r="M51" i="58"/>
  <c r="E51" i="58"/>
  <c r="F50" i="58"/>
  <c r="G50" i="58"/>
  <c r="H50" i="58"/>
  <c r="I50" i="58"/>
  <c r="J50" i="58"/>
  <c r="K50" i="58"/>
  <c r="L50" i="58"/>
  <c r="M50" i="58"/>
  <c r="E50" i="58"/>
  <c r="F48" i="58"/>
  <c r="G48" i="58"/>
  <c r="H48" i="58"/>
  <c r="I48" i="58"/>
  <c r="J48" i="58"/>
  <c r="K48" i="58"/>
  <c r="L48" i="58"/>
  <c r="M48" i="58"/>
  <c r="E48" i="58"/>
  <c r="G47" i="58"/>
  <c r="H47" i="58"/>
  <c r="I47" i="58"/>
  <c r="J47" i="58"/>
  <c r="K47" i="58"/>
  <c r="L47" i="58"/>
  <c r="M47" i="58"/>
  <c r="E47" i="58"/>
  <c r="F47" i="58"/>
  <c r="F46" i="58"/>
  <c r="G46" i="58"/>
  <c r="H46" i="58"/>
  <c r="I46" i="58"/>
  <c r="J46" i="58"/>
  <c r="K46" i="58"/>
  <c r="L46" i="58"/>
  <c r="M46" i="58"/>
  <c r="E46" i="58"/>
  <c r="F45" i="58"/>
  <c r="G45" i="58"/>
  <c r="H45" i="58"/>
  <c r="I45" i="58"/>
  <c r="J45" i="58"/>
  <c r="K45" i="58"/>
  <c r="L45" i="58"/>
  <c r="M45" i="58"/>
  <c r="E45" i="58"/>
  <c r="I38" i="58"/>
  <c r="I39" i="58" s="1"/>
  <c r="F33" i="58"/>
  <c r="F32" i="58"/>
  <c r="G30" i="58"/>
  <c r="G28" i="58"/>
  <c r="G26" i="58"/>
  <c r="G27" i="58"/>
  <c r="F24" i="58"/>
  <c r="F23" i="58"/>
  <c r="F22" i="58"/>
  <c r="F21" i="58"/>
  <c r="F20" i="58"/>
  <c r="F19" i="58"/>
  <c r="F18" i="58"/>
  <c r="C15" i="58"/>
  <c r="D10" i="58"/>
  <c r="D11" i="58"/>
  <c r="D12" i="58"/>
  <c r="D9" i="58"/>
  <c r="C11" i="58"/>
  <c r="C12" i="58"/>
  <c r="C9" i="58"/>
  <c r="C10" i="58"/>
  <c r="C2" i="58"/>
  <c r="H245" i="58"/>
  <c r="G133" i="58"/>
  <c r="G132" i="58"/>
  <c r="H91" i="58"/>
  <c r="H7" i="58"/>
  <c r="I27" i="7" l="1"/>
  <c r="I26" i="7"/>
  <c r="I25" i="7"/>
  <c r="I24" i="7"/>
  <c r="J74" i="13" l="1"/>
  <c r="R11" i="36" l="1"/>
  <c r="Q11" i="36"/>
  <c r="AF22" i="13"/>
  <c r="AB120" i="24" l="1"/>
  <c r="AB119" i="24"/>
  <c r="AB118" i="24"/>
  <c r="AA123" i="24" s="1"/>
  <c r="Z115" i="24"/>
  <c r="W115" i="24"/>
  <c r="E105" i="24"/>
  <c r="G105" i="24"/>
  <c r="F105" i="24"/>
  <c r="E104" i="24"/>
  <c r="W113" i="24"/>
  <c r="Z113" i="24" s="1"/>
  <c r="Z112" i="24"/>
  <c r="W112" i="24"/>
  <c r="W111" i="24"/>
  <c r="Z111" i="24" s="1"/>
  <c r="W110" i="24"/>
  <c r="R120" i="24"/>
  <c r="R119" i="24"/>
  <c r="R118" i="24"/>
  <c r="AA89" i="13"/>
  <c r="AB86" i="13"/>
  <c r="AB85" i="13"/>
  <c r="AB84" i="13"/>
  <c r="W81" i="13" l="1"/>
  <c r="Z81" i="13" s="1"/>
  <c r="W80" i="13"/>
  <c r="W79" i="13"/>
  <c r="Z79" i="13" s="1"/>
  <c r="R86" i="13"/>
  <c r="R85" i="13"/>
  <c r="R84" i="13"/>
  <c r="Z80" i="13" l="1"/>
  <c r="I26" i="24"/>
  <c r="I27" i="24"/>
  <c r="E102" i="24"/>
  <c r="J110" i="24"/>
  <c r="J107" i="24"/>
  <c r="C107" i="24"/>
  <c r="G104" i="24"/>
  <c r="F104" i="24"/>
  <c r="J103" i="24"/>
  <c r="J102" i="24"/>
  <c r="J75" i="13"/>
  <c r="J73" i="13"/>
  <c r="S21" i="24"/>
  <c r="P21" i="24" l="1"/>
  <c r="L14" i="13"/>
  <c r="L4" i="13"/>
  <c r="G11" i="36"/>
  <c r="Q76" i="7"/>
  <c r="H74" i="7"/>
  <c r="H64" i="7"/>
  <c r="F27" i="11" l="1"/>
  <c r="G78" i="7" l="1"/>
  <c r="H69" i="7"/>
  <c r="H104" i="58" l="1"/>
  <c r="W75" i="13"/>
  <c r="B109" i="52"/>
  <c r="B105" i="58" l="1"/>
  <c r="H17" i="14"/>
  <c r="H16" i="14"/>
  <c r="I39" i="8" l="1"/>
  <c r="C8" i="55"/>
  <c r="C4" i="55"/>
  <c r="C9" i="53"/>
  <c r="B30" i="52"/>
  <c r="S4" i="53" s="1"/>
  <c r="C14" i="55"/>
  <c r="D9" i="53"/>
  <c r="C20" i="55"/>
  <c r="E9" i="53"/>
  <c r="E10" i="53" s="1"/>
  <c r="C25" i="55"/>
  <c r="F9" i="53"/>
  <c r="C51" i="55"/>
  <c r="G9" i="53"/>
  <c r="G10" i="53" s="1"/>
  <c r="G37" i="55"/>
  <c r="Q37" i="53"/>
  <c r="G38" i="55"/>
  <c r="Q38" i="53"/>
  <c r="C30" i="53"/>
  <c r="C28" i="53" s="1"/>
  <c r="E23" i="53"/>
  <c r="G32" i="55"/>
  <c r="Q32" i="53"/>
  <c r="G33" i="55"/>
  <c r="Q33" i="53"/>
  <c r="G34" i="55"/>
  <c r="Q34" i="53"/>
  <c r="G35" i="55"/>
  <c r="Q35" i="53"/>
  <c r="G36" i="55"/>
  <c r="Q36" i="53"/>
  <c r="D25" i="53"/>
  <c r="D23" i="53"/>
  <c r="D17" i="53"/>
  <c r="D15" i="53"/>
  <c r="D9" i="4"/>
  <c r="C13" i="58" s="1"/>
  <c r="B24" i="52"/>
  <c r="B26" i="52" s="1"/>
  <c r="C25" i="53"/>
  <c r="C23" i="53"/>
  <c r="C17" i="53"/>
  <c r="C15" i="53"/>
  <c r="C3" i="53"/>
  <c r="M4" i="53" s="1"/>
  <c r="O5" i="53"/>
  <c r="O6" i="53"/>
  <c r="O7" i="53"/>
  <c r="O8" i="53"/>
  <c r="O9" i="53"/>
  <c r="M141" i="7"/>
  <c r="K14" i="7" s="1"/>
  <c r="C19" i="53"/>
  <c r="B73" i="52"/>
  <c r="K24" i="24"/>
  <c r="L27" i="24"/>
  <c r="H25" i="36"/>
  <c r="I25" i="36" s="1"/>
  <c r="E5" i="6"/>
  <c r="F5" i="6"/>
  <c r="G5" i="6"/>
  <c r="G23" i="6"/>
  <c r="G27" i="6"/>
  <c r="G30" i="6"/>
  <c r="H5" i="6"/>
  <c r="I5" i="6"/>
  <c r="J5" i="6"/>
  <c r="K5" i="6"/>
  <c r="L5" i="6"/>
  <c r="M5" i="6"/>
  <c r="E23" i="6"/>
  <c r="E27" i="6"/>
  <c r="E30" i="6"/>
  <c r="F23" i="6"/>
  <c r="F27" i="6"/>
  <c r="F30" i="6"/>
  <c r="H23" i="6"/>
  <c r="H27" i="6"/>
  <c r="H30" i="6"/>
  <c r="I23" i="6"/>
  <c r="I27" i="6"/>
  <c r="I30" i="6"/>
  <c r="J23" i="6"/>
  <c r="J27" i="6"/>
  <c r="J30" i="6"/>
  <c r="K23" i="6"/>
  <c r="K27" i="6"/>
  <c r="K30" i="6"/>
  <c r="L23" i="6"/>
  <c r="L27" i="6"/>
  <c r="L30" i="6"/>
  <c r="M23" i="6"/>
  <c r="M27" i="6"/>
  <c r="M30" i="6"/>
  <c r="F33" i="6"/>
  <c r="F34" i="6"/>
  <c r="C35" i="36" s="1"/>
  <c r="F35" i="6"/>
  <c r="C36" i="36" s="1"/>
  <c r="F36" i="6"/>
  <c r="E37" i="36" s="1"/>
  <c r="C37" i="36"/>
  <c r="F37" i="6"/>
  <c r="C38" i="36" s="1"/>
  <c r="F38" i="6"/>
  <c r="C39" i="36" s="1"/>
  <c r="K27" i="24"/>
  <c r="D105" i="24" s="1"/>
  <c r="F5" i="4"/>
  <c r="F6" i="4"/>
  <c r="F7" i="4"/>
  <c r="F8" i="4"/>
  <c r="G4" i="14"/>
  <c r="G5" i="14"/>
  <c r="G6" i="14"/>
  <c r="G7" i="14"/>
  <c r="F9" i="14"/>
  <c r="H9" i="14" s="1"/>
  <c r="G14" i="14"/>
  <c r="H13" i="14"/>
  <c r="H18" i="14"/>
  <c r="H19" i="14" s="1"/>
  <c r="I37" i="14"/>
  <c r="H46" i="14"/>
  <c r="I46" i="14" s="1"/>
  <c r="K74" i="13"/>
  <c r="I15" i="13"/>
  <c r="B10" i="54"/>
  <c r="D24" i="52"/>
  <c r="AN1" i="52" s="1"/>
  <c r="B31" i="52"/>
  <c r="G52" i="55"/>
  <c r="G51" i="55"/>
  <c r="G50" i="55"/>
  <c r="C50" i="55"/>
  <c r="G49" i="55"/>
  <c r="Q49" i="53"/>
  <c r="C49" i="55"/>
  <c r="G48" i="55"/>
  <c r="C48" i="55"/>
  <c r="G47" i="55"/>
  <c r="C47" i="55"/>
  <c r="G46" i="55"/>
  <c r="C46" i="55"/>
  <c r="G45" i="55"/>
  <c r="Q45" i="53"/>
  <c r="C45" i="55"/>
  <c r="G44" i="55"/>
  <c r="C44" i="55"/>
  <c r="G43" i="55"/>
  <c r="C43" i="55"/>
  <c r="G42" i="55"/>
  <c r="C42" i="55"/>
  <c r="G41" i="55"/>
  <c r="Q41" i="53"/>
  <c r="C41" i="55"/>
  <c r="G40" i="55"/>
  <c r="C40" i="55"/>
  <c r="G39" i="55"/>
  <c r="C39" i="55"/>
  <c r="C38" i="55"/>
  <c r="C37" i="55"/>
  <c r="C36" i="55"/>
  <c r="C35" i="55"/>
  <c r="C34" i="55"/>
  <c r="C33" i="55"/>
  <c r="C32" i="55"/>
  <c r="G31" i="55"/>
  <c r="C31" i="55"/>
  <c r="G30" i="55"/>
  <c r="C30" i="55"/>
  <c r="G29" i="55"/>
  <c r="C29" i="55"/>
  <c r="G28" i="55"/>
  <c r="C28" i="55"/>
  <c r="G27" i="55"/>
  <c r="C27" i="55"/>
  <c r="G26" i="55"/>
  <c r="C26" i="55"/>
  <c r="G25" i="55"/>
  <c r="G24" i="55"/>
  <c r="C24" i="55"/>
  <c r="G23" i="55"/>
  <c r="C23" i="55"/>
  <c r="G22" i="55"/>
  <c r="C22" i="55"/>
  <c r="G21" i="55"/>
  <c r="C21" i="55"/>
  <c r="G20" i="55"/>
  <c r="G19" i="55"/>
  <c r="C19" i="55"/>
  <c r="G18" i="55"/>
  <c r="C18" i="55"/>
  <c r="G17" i="55"/>
  <c r="C17" i="55"/>
  <c r="G16" i="55"/>
  <c r="C16" i="55"/>
  <c r="G15" i="55"/>
  <c r="C15" i="55"/>
  <c r="G14" i="55"/>
  <c r="G13" i="55"/>
  <c r="C13" i="55"/>
  <c r="G12" i="55"/>
  <c r="C12" i="55"/>
  <c r="G11" i="55"/>
  <c r="C11" i="55"/>
  <c r="G10" i="55"/>
  <c r="C10" i="55"/>
  <c r="G9" i="55"/>
  <c r="C9" i="55"/>
  <c r="G8" i="55"/>
  <c r="G7" i="55"/>
  <c r="C7" i="55"/>
  <c r="G6" i="55"/>
  <c r="C6" i="55"/>
  <c r="G5" i="55"/>
  <c r="C5" i="55"/>
  <c r="A5" i="55"/>
  <c r="G4" i="55"/>
  <c r="D4" i="55"/>
  <c r="B73" i="54"/>
  <c r="B72" i="54"/>
  <c r="B49" i="54"/>
  <c r="B47" i="54"/>
  <c r="B45" i="54"/>
  <c r="B44" i="54"/>
  <c r="B16" i="54"/>
  <c r="B14" i="54"/>
  <c r="T12" i="54"/>
  <c r="S12" i="54"/>
  <c r="T11" i="54"/>
  <c r="S11" i="54"/>
  <c r="T10" i="54"/>
  <c r="S10" i="54"/>
  <c r="T9" i="54"/>
  <c r="S9" i="54"/>
  <c r="T8" i="54"/>
  <c r="S8" i="54"/>
  <c r="T7" i="54"/>
  <c r="S7" i="54"/>
  <c r="B6" i="54"/>
  <c r="B5" i="54"/>
  <c r="B3" i="54"/>
  <c r="Q51" i="53"/>
  <c r="Q50" i="53"/>
  <c r="Q48" i="53"/>
  <c r="Q47" i="53"/>
  <c r="Q46" i="53"/>
  <c r="Q44" i="53"/>
  <c r="Q43" i="53"/>
  <c r="Q42" i="53"/>
  <c r="Q40" i="53"/>
  <c r="Q39" i="53"/>
  <c r="Q31" i="53"/>
  <c r="Q30" i="53"/>
  <c r="Q29" i="53"/>
  <c r="Q28" i="53"/>
  <c r="Q27" i="53"/>
  <c r="Q26" i="53"/>
  <c r="G26" i="53"/>
  <c r="F26" i="53"/>
  <c r="E26" i="53"/>
  <c r="D26" i="53"/>
  <c r="C26" i="53"/>
  <c r="Q25" i="53"/>
  <c r="G25" i="53"/>
  <c r="F25" i="53"/>
  <c r="E25" i="53"/>
  <c r="Q24" i="53"/>
  <c r="G24" i="53"/>
  <c r="F24" i="53"/>
  <c r="E24" i="53"/>
  <c r="D24" i="53"/>
  <c r="C24" i="53"/>
  <c r="Q23" i="53"/>
  <c r="G23" i="53"/>
  <c r="F23" i="53"/>
  <c r="Q22" i="53"/>
  <c r="G22" i="53"/>
  <c r="F22" i="53"/>
  <c r="E22" i="53"/>
  <c r="D22" i="53"/>
  <c r="C22" i="53"/>
  <c r="Q21" i="53"/>
  <c r="G21" i="53"/>
  <c r="F21" i="53"/>
  <c r="E21" i="53"/>
  <c r="D21" i="53"/>
  <c r="C21" i="53"/>
  <c r="Q20" i="53"/>
  <c r="G20" i="53"/>
  <c r="F20" i="53"/>
  <c r="E20" i="53"/>
  <c r="D20" i="53"/>
  <c r="C20" i="53"/>
  <c r="Q19" i="53"/>
  <c r="G19" i="53"/>
  <c r="F19" i="53"/>
  <c r="E19" i="53"/>
  <c r="D19" i="53"/>
  <c r="Q18" i="53"/>
  <c r="G18" i="53"/>
  <c r="F18" i="53"/>
  <c r="E18" i="53"/>
  <c r="D18" i="53"/>
  <c r="C18" i="53"/>
  <c r="Q17" i="53"/>
  <c r="G17" i="53"/>
  <c r="F17" i="53"/>
  <c r="E17" i="53"/>
  <c r="Q16" i="53"/>
  <c r="G16" i="53"/>
  <c r="F16" i="53"/>
  <c r="E16" i="53"/>
  <c r="D16" i="53"/>
  <c r="C16" i="53"/>
  <c r="Q15" i="53"/>
  <c r="G15" i="53"/>
  <c r="F15" i="53"/>
  <c r="E15" i="53"/>
  <c r="Q14" i="53"/>
  <c r="C14" i="53"/>
  <c r="Q13" i="53"/>
  <c r="Q12" i="53"/>
  <c r="Q11" i="53"/>
  <c r="Q10" i="53"/>
  <c r="Q9" i="53"/>
  <c r="Q8" i="53"/>
  <c r="Q7" i="53"/>
  <c r="Q6" i="53"/>
  <c r="G6" i="53"/>
  <c r="F6" i="53"/>
  <c r="E6" i="53"/>
  <c r="D6" i="53"/>
  <c r="Q5" i="53"/>
  <c r="O10" i="53"/>
  <c r="O11" i="53"/>
  <c r="O12" i="53"/>
  <c r="O13" i="53"/>
  <c r="O14" i="53"/>
  <c r="O15" i="53"/>
  <c r="O16" i="53"/>
  <c r="O17" i="53"/>
  <c r="O18" i="53"/>
  <c r="O19" i="53"/>
  <c r="O20" i="53"/>
  <c r="O21" i="53"/>
  <c r="O22" i="53"/>
  <c r="O23" i="53"/>
  <c r="O24" i="53"/>
  <c r="O25" i="53"/>
  <c r="O26" i="53"/>
  <c r="O27" i="53"/>
  <c r="O28" i="53"/>
  <c r="O29" i="53"/>
  <c r="O30" i="53"/>
  <c r="O31" i="53"/>
  <c r="O32" i="53"/>
  <c r="O33" i="53"/>
  <c r="O34" i="53"/>
  <c r="O35" i="53"/>
  <c r="O36" i="53"/>
  <c r="O37" i="53"/>
  <c r="O38" i="53"/>
  <c r="O39" i="53"/>
  <c r="O40" i="53"/>
  <c r="O41" i="53"/>
  <c r="O42" i="53"/>
  <c r="O43" i="53"/>
  <c r="O44" i="53"/>
  <c r="O45" i="53"/>
  <c r="O46" i="53"/>
  <c r="O47" i="53"/>
  <c r="O48" i="53"/>
  <c r="O49" i="53"/>
  <c r="O50" i="53"/>
  <c r="O51" i="53"/>
  <c r="F5" i="53"/>
  <c r="E5" i="53"/>
  <c r="D5" i="53"/>
  <c r="Q4" i="53"/>
  <c r="G4" i="53"/>
  <c r="F4" i="53"/>
  <c r="E4" i="53"/>
  <c r="B107" i="52"/>
  <c r="B85" i="52"/>
  <c r="B83" i="52"/>
  <c r="B9" i="54" s="1"/>
  <c r="C82" i="52"/>
  <c r="A82" i="52"/>
  <c r="G57" i="52"/>
  <c r="F57" i="52"/>
  <c r="E57" i="52"/>
  <c r="D57" i="52"/>
  <c r="C57" i="52"/>
  <c r="G56" i="52"/>
  <c r="F56" i="52"/>
  <c r="E56" i="52"/>
  <c r="D56" i="52"/>
  <c r="C56" i="52"/>
  <c r="G53" i="52"/>
  <c r="F53" i="52"/>
  <c r="E53" i="52"/>
  <c r="D53" i="52"/>
  <c r="C53" i="52"/>
  <c r="G52" i="52"/>
  <c r="F52" i="52"/>
  <c r="E52" i="52"/>
  <c r="D52" i="52"/>
  <c r="C52" i="52"/>
  <c r="G49" i="52"/>
  <c r="F49" i="52"/>
  <c r="E49" i="52"/>
  <c r="D49" i="52"/>
  <c r="C49" i="52"/>
  <c r="G48" i="52"/>
  <c r="F48" i="52"/>
  <c r="E48" i="52"/>
  <c r="D48" i="52"/>
  <c r="C48" i="52"/>
  <c r="G45" i="52"/>
  <c r="F45" i="52"/>
  <c r="E45" i="52"/>
  <c r="D45" i="52"/>
  <c r="C45" i="52"/>
  <c r="G44" i="52"/>
  <c r="F44" i="52"/>
  <c r="E44" i="52"/>
  <c r="D44" i="52"/>
  <c r="C44" i="52"/>
  <c r="C42" i="52"/>
  <c r="D42" i="52" s="1"/>
  <c r="C38" i="52"/>
  <c r="B72" i="52"/>
  <c r="B15" i="54" s="1"/>
  <c r="B17" i="54" s="1"/>
  <c r="B78" i="52"/>
  <c r="B36" i="52"/>
  <c r="S19" i="53"/>
  <c r="S35" i="53"/>
  <c r="S7" i="53"/>
  <c r="S15" i="53"/>
  <c r="S16" i="53"/>
  <c r="E4" i="55"/>
  <c r="S51" i="53"/>
  <c r="S45" i="53"/>
  <c r="S43" i="53"/>
  <c r="S32" i="53"/>
  <c r="S50" i="53"/>
  <c r="B21" i="54"/>
  <c r="S46" i="53"/>
  <c r="S30" i="53"/>
  <c r="S24" i="53"/>
  <c r="S33" i="53"/>
  <c r="S27" i="53"/>
  <c r="S13" i="53"/>
  <c r="S44" i="53"/>
  <c r="S25" i="53"/>
  <c r="S22" i="53"/>
  <c r="S6" i="53"/>
  <c r="S8" i="53"/>
  <c r="S23" i="53"/>
  <c r="S26" i="53"/>
  <c r="A6" i="55"/>
  <c r="D5" i="55"/>
  <c r="E5" i="55"/>
  <c r="D6" i="55"/>
  <c r="A7" i="55"/>
  <c r="A8" i="55"/>
  <c r="D7" i="55"/>
  <c r="E6" i="55"/>
  <c r="D8" i="55"/>
  <c r="A9" i="55"/>
  <c r="E7" i="55"/>
  <c r="E8" i="55"/>
  <c r="A10" i="55"/>
  <c r="D9" i="55"/>
  <c r="E9" i="55"/>
  <c r="D10" i="55"/>
  <c r="E10" i="55"/>
  <c r="A11" i="55"/>
  <c r="A12" i="55"/>
  <c r="D11" i="55"/>
  <c r="E11" i="55"/>
  <c r="A13" i="55"/>
  <c r="D12" i="55"/>
  <c r="A14" i="55"/>
  <c r="D13" i="55"/>
  <c r="E12" i="55"/>
  <c r="E13" i="55"/>
  <c r="D14" i="55"/>
  <c r="A15" i="55"/>
  <c r="A16" i="55"/>
  <c r="D15" i="55"/>
  <c r="E14" i="55"/>
  <c r="E15" i="55"/>
  <c r="D16" i="55"/>
  <c r="A17" i="55"/>
  <c r="A18" i="55"/>
  <c r="D17" i="55"/>
  <c r="E16" i="55"/>
  <c r="E17" i="55"/>
  <c r="A19" i="55"/>
  <c r="D18" i="55"/>
  <c r="E18" i="55"/>
  <c r="A20" i="55"/>
  <c r="D19" i="55"/>
  <c r="A21" i="55"/>
  <c r="D20" i="55"/>
  <c r="E19" i="55"/>
  <c r="E20" i="55"/>
  <c r="A22" i="55"/>
  <c r="D21" i="55"/>
  <c r="E21" i="55"/>
  <c r="D22" i="55"/>
  <c r="A23" i="55"/>
  <c r="A24" i="55"/>
  <c r="D23" i="55"/>
  <c r="E22" i="55"/>
  <c r="E23" i="55"/>
  <c r="D24" i="55"/>
  <c r="A25" i="55"/>
  <c r="E24" i="55"/>
  <c r="A26" i="55"/>
  <c r="D25" i="55"/>
  <c r="A27" i="55"/>
  <c r="D26" i="55"/>
  <c r="E25" i="55"/>
  <c r="E26" i="55"/>
  <c r="A28" i="55"/>
  <c r="D27" i="55"/>
  <c r="A29" i="55"/>
  <c r="D28" i="55"/>
  <c r="E27" i="55"/>
  <c r="E28" i="55"/>
  <c r="A30" i="55"/>
  <c r="D29" i="55"/>
  <c r="E29" i="55"/>
  <c r="D30" i="55"/>
  <c r="A31" i="55"/>
  <c r="E30" i="55"/>
  <c r="A32" i="55"/>
  <c r="D31" i="55"/>
  <c r="E31" i="55"/>
  <c r="A33" i="55"/>
  <c r="A34" i="55"/>
  <c r="A35" i="55"/>
  <c r="A36" i="55"/>
  <c r="A37" i="55"/>
  <c r="A38" i="55"/>
  <c r="A39" i="55"/>
  <c r="A40" i="55"/>
  <c r="A41" i="55"/>
  <c r="A42" i="55"/>
  <c r="A43" i="55"/>
  <c r="A44" i="55"/>
  <c r="A45" i="55"/>
  <c r="A46" i="55"/>
  <c r="A47" i="55"/>
  <c r="A48" i="55"/>
  <c r="A49" i="55"/>
  <c r="A50" i="55"/>
  <c r="A51" i="55"/>
  <c r="D32" i="55"/>
  <c r="G7" i="53"/>
  <c r="F4" i="55"/>
  <c r="P4" i="53"/>
  <c r="F5" i="55"/>
  <c r="P5" i="53"/>
  <c r="F6" i="55"/>
  <c r="P6" i="53"/>
  <c r="F7" i="55"/>
  <c r="P7" i="53"/>
  <c r="C7" i="53"/>
  <c r="F8" i="55"/>
  <c r="P8" i="53"/>
  <c r="F9" i="55"/>
  <c r="P9" i="53"/>
  <c r="F10" i="55"/>
  <c r="P10" i="53"/>
  <c r="F11" i="55"/>
  <c r="P11" i="53"/>
  <c r="F12" i="55"/>
  <c r="P12" i="53"/>
  <c r="F13" i="55"/>
  <c r="P13" i="53"/>
  <c r="F14" i="55"/>
  <c r="P14" i="53"/>
  <c r="D7" i="53"/>
  <c r="F15" i="55"/>
  <c r="P15" i="53"/>
  <c r="F16" i="55"/>
  <c r="P16" i="53"/>
  <c r="F17" i="55"/>
  <c r="P17" i="53"/>
  <c r="F18" i="55"/>
  <c r="P18" i="53"/>
  <c r="F19" i="55"/>
  <c r="P19" i="53"/>
  <c r="F20" i="55"/>
  <c r="P20" i="53"/>
  <c r="F21" i="55"/>
  <c r="P21" i="53"/>
  <c r="E7" i="53"/>
  <c r="F22" i="55"/>
  <c r="P22" i="53"/>
  <c r="F23" i="55"/>
  <c r="P23" i="53"/>
  <c r="F24" i="55"/>
  <c r="P24" i="53"/>
  <c r="F25" i="55"/>
  <c r="P25" i="53"/>
  <c r="F7" i="53"/>
  <c r="F26" i="55"/>
  <c r="P26" i="53"/>
  <c r="F27" i="55"/>
  <c r="P27" i="53"/>
  <c r="F28" i="55"/>
  <c r="P28" i="53"/>
  <c r="F29" i="55"/>
  <c r="P29" i="53"/>
  <c r="F30" i="55"/>
  <c r="P30" i="53"/>
  <c r="F31" i="55"/>
  <c r="P31" i="53"/>
  <c r="I5" i="13"/>
  <c r="I94" i="7"/>
  <c r="F99" i="7"/>
  <c r="F97" i="7"/>
  <c r="G83" i="7"/>
  <c r="G84" i="7"/>
  <c r="E25" i="13" s="1"/>
  <c r="F57" i="15"/>
  <c r="F55" i="15"/>
  <c r="L74" i="13"/>
  <c r="K94" i="7"/>
  <c r="J78" i="13"/>
  <c r="H2" i="47" s="1"/>
  <c r="C7" i="47" s="1"/>
  <c r="G29" i="32"/>
  <c r="E29" i="32"/>
  <c r="E15" i="47"/>
  <c r="D15" i="47"/>
  <c r="G108" i="24"/>
  <c r="F108" i="24"/>
  <c r="E108" i="24"/>
  <c r="G107" i="24"/>
  <c r="F107" i="24"/>
  <c r="E107" i="24"/>
  <c r="G103" i="24"/>
  <c r="F103" i="24"/>
  <c r="F102" i="24"/>
  <c r="G102" i="24"/>
  <c r="G79" i="13"/>
  <c r="E79" i="13"/>
  <c r="G75" i="13"/>
  <c r="G74" i="13"/>
  <c r="G73" i="13"/>
  <c r="F75" i="13"/>
  <c r="F74" i="13"/>
  <c r="F73" i="13"/>
  <c r="E75" i="13"/>
  <c r="E74" i="13"/>
  <c r="E73" i="13"/>
  <c r="F79" i="13"/>
  <c r="D33" i="11"/>
  <c r="F33" i="11" s="1"/>
  <c r="F28" i="11"/>
  <c r="F29" i="11"/>
  <c r="F30" i="11"/>
  <c r="F31" i="11"/>
  <c r="C22" i="11"/>
  <c r="G17" i="11"/>
  <c r="H17" i="11"/>
  <c r="G18" i="11"/>
  <c r="H18" i="11"/>
  <c r="G19" i="11"/>
  <c r="H19" i="11"/>
  <c r="G20" i="11"/>
  <c r="H20" i="11"/>
  <c r="G16" i="11"/>
  <c r="H16" i="11" s="1"/>
  <c r="H22" i="11" s="1"/>
  <c r="M18" i="7"/>
  <c r="M17" i="7"/>
  <c r="M16" i="7"/>
  <c r="M15" i="7"/>
  <c r="M14" i="7"/>
  <c r="I14" i="7"/>
  <c r="F53" i="7"/>
  <c r="D12" i="47"/>
  <c r="D11" i="47"/>
  <c r="I15" i="7"/>
  <c r="I16" i="7"/>
  <c r="I17" i="7"/>
  <c r="I18" i="7"/>
  <c r="D21" i="47"/>
  <c r="D16" i="47"/>
  <c r="E7" i="47"/>
  <c r="J11" i="13"/>
  <c r="F53" i="13" s="1"/>
  <c r="N44" i="13"/>
  <c r="N43" i="13"/>
  <c r="E134" i="24"/>
  <c r="E133" i="24"/>
  <c r="A134" i="24"/>
  <c r="A133" i="24"/>
  <c r="A102" i="13"/>
  <c r="A101" i="13"/>
  <c r="H19" i="33"/>
  <c r="L41" i="24"/>
  <c r="H18" i="33"/>
  <c r="I59" i="24"/>
  <c r="G19" i="33"/>
  <c r="K41" i="24"/>
  <c r="G18" i="33"/>
  <c r="H59" i="24"/>
  <c r="I35" i="13"/>
  <c r="N21" i="8"/>
  <c r="M21" i="8"/>
  <c r="A124" i="7"/>
  <c r="H68" i="7" s="1"/>
  <c r="H70" i="7" s="1"/>
  <c r="I93" i="7"/>
  <c r="F42" i="15"/>
  <c r="A97" i="15"/>
  <c r="A98" i="15"/>
  <c r="A99" i="15"/>
  <c r="A100" i="15"/>
  <c r="A96" i="15"/>
  <c r="M14" i="15"/>
  <c r="C100" i="15"/>
  <c r="M13" i="15"/>
  <c r="C99" i="15"/>
  <c r="M12" i="15"/>
  <c r="C98" i="15"/>
  <c r="M11" i="15"/>
  <c r="B97" i="15"/>
  <c r="M10" i="15"/>
  <c r="C96" i="15"/>
  <c r="I33" i="13"/>
  <c r="W77" i="13" s="1"/>
  <c r="Z77" i="13" s="1"/>
  <c r="A96" i="13"/>
  <c r="G63" i="13"/>
  <c r="H63" i="13"/>
  <c r="G64" i="13"/>
  <c r="J81" i="13" s="1"/>
  <c r="H64" i="13"/>
  <c r="G65" i="13"/>
  <c r="H65" i="13"/>
  <c r="G66" i="13"/>
  <c r="H66" i="13"/>
  <c r="G61" i="13"/>
  <c r="J11" i="37"/>
  <c r="J14" i="37"/>
  <c r="J20" i="37"/>
  <c r="K20" i="37" s="1"/>
  <c r="J8" i="37"/>
  <c r="J16" i="37" s="1"/>
  <c r="H60" i="7"/>
  <c r="I93" i="58" s="1"/>
  <c r="F10" i="15"/>
  <c r="G17" i="6"/>
  <c r="G18" i="6" s="1"/>
  <c r="F6" i="15"/>
  <c r="F63" i="58" s="1"/>
  <c r="F7" i="15"/>
  <c r="F15" i="15"/>
  <c r="N6" i="6"/>
  <c r="D5" i="15" s="1"/>
  <c r="K31" i="14"/>
  <c r="G24" i="6"/>
  <c r="G28" i="6"/>
  <c r="J66" i="7"/>
  <c r="H10" i="8"/>
  <c r="H24" i="8"/>
  <c r="M22" i="8"/>
  <c r="K33" i="8"/>
  <c r="C47" i="36"/>
  <c r="J19" i="37"/>
  <c r="D47" i="36"/>
  <c r="E47" i="36"/>
  <c r="F47" i="36"/>
  <c r="G47" i="36"/>
  <c r="L47" i="36"/>
  <c r="M47" i="36"/>
  <c r="N47" i="36"/>
  <c r="H5" i="8"/>
  <c r="AG55" i="13"/>
  <c r="AH55" i="13"/>
  <c r="AF56" i="13"/>
  <c r="AF32" i="13"/>
  <c r="AF34" i="13"/>
  <c r="AF33" i="13"/>
  <c r="AG32" i="13"/>
  <c r="AG34" i="13"/>
  <c r="AG33" i="13"/>
  <c r="A85" i="13"/>
  <c r="E23" i="13"/>
  <c r="H33" i="13"/>
  <c r="A87" i="13"/>
  <c r="A88" i="13"/>
  <c r="A89" i="13"/>
  <c r="A90" i="13"/>
  <c r="A91" i="13"/>
  <c r="A92" i="13"/>
  <c r="A93" i="13"/>
  <c r="A94" i="13"/>
  <c r="A95" i="13"/>
  <c r="A97" i="13"/>
  <c r="A98" i="13"/>
  <c r="A99" i="13"/>
  <c r="A100" i="13"/>
  <c r="A86" i="13"/>
  <c r="G62" i="13"/>
  <c r="H61" i="13"/>
  <c r="H62" i="13"/>
  <c r="Q68" i="7"/>
  <c r="Q69" i="7"/>
  <c r="K22" i="8"/>
  <c r="K23" i="8"/>
  <c r="M20" i="6"/>
  <c r="L20" i="6"/>
  <c r="K20" i="6"/>
  <c r="I20" i="6"/>
  <c r="H20" i="6"/>
  <c r="F20" i="6"/>
  <c r="P24" i="6"/>
  <c r="P28" i="6"/>
  <c r="F56" i="7"/>
  <c r="F89" i="58" s="1"/>
  <c r="B90" i="58" s="1"/>
  <c r="E77" i="15"/>
  <c r="P7" i="15"/>
  <c r="P18" i="6"/>
  <c r="Q5" i="15"/>
  <c r="P4" i="14"/>
  <c r="N77" i="36"/>
  <c r="H21" i="36"/>
  <c r="P23" i="6"/>
  <c r="P27" i="6"/>
  <c r="P5" i="8"/>
  <c r="P7" i="8"/>
  <c r="P10" i="8"/>
  <c r="P27" i="8"/>
  <c r="J29" i="24"/>
  <c r="K29" i="24" s="1"/>
  <c r="A132" i="24"/>
  <c r="E128" i="24"/>
  <c r="E129" i="24"/>
  <c r="I56" i="24"/>
  <c r="W114" i="24" s="1"/>
  <c r="Z114" i="24" s="1"/>
  <c r="L25" i="24"/>
  <c r="N25" i="24" s="1"/>
  <c r="H11" i="24"/>
  <c r="H12" i="24"/>
  <c r="L24" i="24"/>
  <c r="N24" i="24" s="1"/>
  <c r="J33" i="24"/>
  <c r="A126" i="24"/>
  <c r="A127" i="24"/>
  <c r="K25" i="24"/>
  <c r="L40" i="24"/>
  <c r="L42" i="24" s="1"/>
  <c r="K40" i="24"/>
  <c r="F85" i="24"/>
  <c r="G85" i="24"/>
  <c r="F86" i="24"/>
  <c r="G86" i="24"/>
  <c r="F88" i="24"/>
  <c r="G88" i="24"/>
  <c r="F89" i="24"/>
  <c r="G89" i="24"/>
  <c r="E117" i="24"/>
  <c r="A117" i="24"/>
  <c r="E132" i="24"/>
  <c r="E131" i="24"/>
  <c r="E130" i="24"/>
  <c r="E127" i="24"/>
  <c r="E126" i="24"/>
  <c r="E125" i="24"/>
  <c r="E124" i="24"/>
  <c r="E123" i="24"/>
  <c r="E122" i="24"/>
  <c r="E121" i="24"/>
  <c r="E120" i="24"/>
  <c r="E119" i="24"/>
  <c r="E118" i="24"/>
  <c r="A131" i="24"/>
  <c r="A130" i="24"/>
  <c r="A128" i="24"/>
  <c r="A129" i="24"/>
  <c r="A121" i="24"/>
  <c r="A122" i="24"/>
  <c r="A123" i="24"/>
  <c r="A124" i="24"/>
  <c r="A125" i="24"/>
  <c r="A120" i="24"/>
  <c r="A119" i="24"/>
  <c r="A118" i="24"/>
  <c r="H56" i="24"/>
  <c r="G82" i="24"/>
  <c r="F82" i="24"/>
  <c r="F83" i="24"/>
  <c r="G83" i="24"/>
  <c r="F16" i="15"/>
  <c r="F17" i="15"/>
  <c r="F18" i="15"/>
  <c r="F19" i="15"/>
  <c r="F11" i="15"/>
  <c r="F68" i="58" s="1"/>
  <c r="F12" i="15"/>
  <c r="F13" i="15"/>
  <c r="F14" i="15"/>
  <c r="D100" i="15"/>
  <c r="F8" i="15"/>
  <c r="F9" i="15"/>
  <c r="M18" i="15"/>
  <c r="F71" i="15"/>
  <c r="G71" i="15" s="1"/>
  <c r="F70" i="15"/>
  <c r="G70" i="15" s="1"/>
  <c r="F68" i="15"/>
  <c r="G68" i="15" s="1"/>
  <c r="M15" i="15"/>
  <c r="G51" i="15" s="1"/>
  <c r="H51" i="15" s="1"/>
  <c r="I51" i="15" s="1"/>
  <c r="M17" i="15"/>
  <c r="M19" i="15"/>
  <c r="M16" i="15"/>
  <c r="M9" i="15"/>
  <c r="M8" i="15"/>
  <c r="M7" i="15"/>
  <c r="D99" i="36"/>
  <c r="E99" i="36"/>
  <c r="H11" i="36"/>
  <c r="C99" i="36"/>
  <c r="H47" i="36"/>
  <c r="I47" i="36"/>
  <c r="J47" i="36"/>
  <c r="K47" i="36"/>
  <c r="O77" i="36"/>
  <c r="N82" i="36"/>
  <c r="O82" i="36"/>
  <c r="N83" i="36"/>
  <c r="O83" i="36"/>
  <c r="N84" i="36"/>
  <c r="O84" i="36"/>
  <c r="N85" i="36"/>
  <c r="O85" i="36"/>
  <c r="N86" i="36"/>
  <c r="O86" i="36"/>
  <c r="N87" i="36"/>
  <c r="O87" i="36"/>
  <c r="B47" i="32"/>
  <c r="B43" i="32"/>
  <c r="B45" i="32"/>
  <c r="B44" i="32"/>
  <c r="B54" i="32"/>
  <c r="B53" i="32"/>
  <c r="B52" i="32"/>
  <c r="B51" i="32"/>
  <c r="B50" i="32"/>
  <c r="B49" i="32"/>
  <c r="B48" i="32"/>
  <c r="B46" i="32"/>
  <c r="B42" i="32"/>
  <c r="B41" i="32"/>
  <c r="B40" i="32"/>
  <c r="B48" i="8"/>
  <c r="H7" i="8"/>
  <c r="K35" i="8"/>
  <c r="J106" i="7"/>
  <c r="E17" i="6"/>
  <c r="E18" i="6" s="1"/>
  <c r="F17" i="6"/>
  <c r="F18" i="6"/>
  <c r="H17" i="6"/>
  <c r="H18" i="6"/>
  <c r="I17" i="6"/>
  <c r="I18" i="6"/>
  <c r="J17" i="6"/>
  <c r="K17" i="6"/>
  <c r="K18" i="6"/>
  <c r="L17" i="6"/>
  <c r="L18" i="6"/>
  <c r="M17" i="6"/>
  <c r="M18" i="6"/>
  <c r="F46" i="6"/>
  <c r="G46" i="6"/>
  <c r="G49" i="6"/>
  <c r="H46" i="6"/>
  <c r="H49" i="6"/>
  <c r="I46" i="6"/>
  <c r="I49" i="6"/>
  <c r="J46" i="6"/>
  <c r="K46" i="6"/>
  <c r="K49" i="6"/>
  <c r="L46" i="6"/>
  <c r="L49" i="6"/>
  <c r="M46" i="6"/>
  <c r="E46" i="6"/>
  <c r="E49" i="6" s="1"/>
  <c r="F50" i="6" s="1"/>
  <c r="G11" i="41" s="1"/>
  <c r="E24" i="6"/>
  <c r="F24" i="6"/>
  <c r="H24" i="6"/>
  <c r="I24" i="6"/>
  <c r="J24" i="6"/>
  <c r="K24" i="6"/>
  <c r="L24" i="6"/>
  <c r="M24" i="6"/>
  <c r="E28" i="6"/>
  <c r="F28" i="6"/>
  <c r="H28" i="6"/>
  <c r="I28" i="6"/>
  <c r="J28" i="6"/>
  <c r="K28" i="6"/>
  <c r="L28" i="6"/>
  <c r="M28" i="6"/>
  <c r="J18" i="6"/>
  <c r="K44" i="6"/>
  <c r="K45" i="6"/>
  <c r="F44" i="6"/>
  <c r="F45" i="6"/>
  <c r="G44" i="6"/>
  <c r="G45" i="6"/>
  <c r="H44" i="6"/>
  <c r="H45" i="6"/>
  <c r="I44" i="6"/>
  <c r="I45" i="6"/>
  <c r="J44" i="6"/>
  <c r="J45" i="6"/>
  <c r="L44" i="6"/>
  <c r="L45" i="6"/>
  <c r="M44" i="6"/>
  <c r="M45" i="6"/>
  <c r="E44" i="6"/>
  <c r="E45" i="6"/>
  <c r="F49" i="6"/>
  <c r="J49" i="6"/>
  <c r="M49" i="6"/>
  <c r="K8" i="24"/>
  <c r="E76" i="24" s="1"/>
  <c r="K36" i="8"/>
  <c r="B100" i="15"/>
  <c r="D97" i="15"/>
  <c r="M74" i="13"/>
  <c r="C35" i="6"/>
  <c r="G57" i="15"/>
  <c r="H57" i="15" s="1"/>
  <c r="K42" i="24"/>
  <c r="J2" i="47"/>
  <c r="C8" i="47" s="1"/>
  <c r="E12" i="32"/>
  <c r="E236" i="58" s="1"/>
  <c r="G14" i="32"/>
  <c r="G238" i="58" s="1"/>
  <c r="E13" i="32"/>
  <c r="E237" i="58" s="1"/>
  <c r="G82" i="7"/>
  <c r="C34" i="13"/>
  <c r="Q70" i="7"/>
  <c r="H36" i="13"/>
  <c r="I36" i="13"/>
  <c r="AG36" i="13" s="1"/>
  <c r="I60" i="24"/>
  <c r="G81" i="24"/>
  <c r="I32" i="13"/>
  <c r="H34" i="13"/>
  <c r="H32" i="13"/>
  <c r="I34" i="13"/>
  <c r="G13" i="32"/>
  <c r="G237" i="58" s="1"/>
  <c r="B15" i="32"/>
  <c r="B239" i="58" s="1"/>
  <c r="B14" i="32"/>
  <c r="B238" i="58" s="1"/>
  <c r="F15" i="32"/>
  <c r="F239" i="58" s="1"/>
  <c r="G15" i="32"/>
  <c r="G239" i="58" s="1"/>
  <c r="E15" i="32"/>
  <c r="E239" i="58" s="1"/>
  <c r="G20" i="6"/>
  <c r="E20" i="6"/>
  <c r="C38" i="6"/>
  <c r="C36" i="6"/>
  <c r="J20" i="6"/>
  <c r="M24" i="8"/>
  <c r="K24" i="8"/>
  <c r="F13" i="32"/>
  <c r="F237" i="58" s="1"/>
  <c r="E14" i="32"/>
  <c r="E238" i="58" s="1"/>
  <c r="F14" i="32"/>
  <c r="F238" i="58" s="1"/>
  <c r="B13" i="32"/>
  <c r="B237" i="58" s="1"/>
  <c r="G58" i="15"/>
  <c r="H58" i="15" s="1"/>
  <c r="I58" i="15" s="1"/>
  <c r="D99" i="15"/>
  <c r="D98" i="15"/>
  <c r="K26" i="24"/>
  <c r="H60" i="24"/>
  <c r="F81" i="24"/>
  <c r="K35" i="36"/>
  <c r="C97" i="15"/>
  <c r="F69" i="15" s="1"/>
  <c r="G69" i="15" s="1"/>
  <c r="B96" i="15"/>
  <c r="B98" i="15"/>
  <c r="G16" i="41"/>
  <c r="G18" i="41" s="1"/>
  <c r="L26" i="24"/>
  <c r="C37" i="6"/>
  <c r="C33" i="6"/>
  <c r="C34" i="6"/>
  <c r="B99" i="15"/>
  <c r="D77" i="13"/>
  <c r="H37" i="13"/>
  <c r="D78" i="13" s="1"/>
  <c r="G60" i="13"/>
  <c r="AF36" i="13"/>
  <c r="J18" i="7"/>
  <c r="L18" i="7" s="1"/>
  <c r="J17" i="7"/>
  <c r="L17" i="7" s="1"/>
  <c r="J16" i="7"/>
  <c r="L16" i="7" s="1"/>
  <c r="I38" i="36"/>
  <c r="C39" i="6"/>
  <c r="H35" i="36"/>
  <c r="J38" i="36"/>
  <c r="N38" i="36"/>
  <c r="G37" i="36"/>
  <c r="F37" i="36"/>
  <c r="N37" i="36"/>
  <c r="I37" i="36"/>
  <c r="G35" i="36"/>
  <c r="E35" i="36"/>
  <c r="J35" i="36"/>
  <c r="L35" i="36"/>
  <c r="D35" i="36"/>
  <c r="M35" i="36"/>
  <c r="I35" i="36"/>
  <c r="N35" i="36"/>
  <c r="F35" i="36"/>
  <c r="K38" i="36"/>
  <c r="L38" i="36"/>
  <c r="D38" i="36"/>
  <c r="H38" i="36"/>
  <c r="E38" i="36"/>
  <c r="F38" i="36"/>
  <c r="G38" i="36"/>
  <c r="M38" i="36"/>
  <c r="M22" i="13"/>
  <c r="N39" i="13" s="1"/>
  <c r="M25" i="8" l="1"/>
  <c r="K27" i="8" s="1"/>
  <c r="J37" i="15"/>
  <c r="F72" i="58"/>
  <c r="J35" i="15"/>
  <c r="F64" i="58"/>
  <c r="H39" i="36"/>
  <c r="E39" i="36"/>
  <c r="I39" i="36"/>
  <c r="F12" i="32"/>
  <c r="F236" i="58" s="1"/>
  <c r="G53" i="15"/>
  <c r="H53" i="15" s="1"/>
  <c r="I53" i="15" s="1"/>
  <c r="G52" i="15"/>
  <c r="H52" i="15" s="1"/>
  <c r="I52" i="15" s="1"/>
  <c r="G24" i="58"/>
  <c r="A86" i="14"/>
  <c r="A84" i="14"/>
  <c r="A80" i="14"/>
  <c r="A82" i="14"/>
  <c r="H41" i="11"/>
  <c r="E36" i="36"/>
  <c r="F39" i="36"/>
  <c r="L39" i="36"/>
  <c r="E75" i="15"/>
  <c r="G39" i="36"/>
  <c r="M39" i="36"/>
  <c r="H61" i="15"/>
  <c r="D62" i="58"/>
  <c r="G48" i="14"/>
  <c r="M33" i="58"/>
  <c r="B29" i="58"/>
  <c r="B25" i="58"/>
  <c r="K196" i="58"/>
  <c r="W116" i="24"/>
  <c r="L46" i="24"/>
  <c r="K46" i="24"/>
  <c r="B5" i="52"/>
  <c r="U12" i="54" s="1"/>
  <c r="I144" i="58"/>
  <c r="C94" i="58"/>
  <c r="C97" i="58"/>
  <c r="D96" i="15"/>
  <c r="F67" i="58"/>
  <c r="G55" i="15"/>
  <c r="C103" i="24"/>
  <c r="M25" i="24"/>
  <c r="C102" i="24"/>
  <c r="M24" i="24"/>
  <c r="B8" i="54"/>
  <c r="U4" i="54"/>
  <c r="H7" i="53"/>
  <c r="B36" i="54"/>
  <c r="I43" i="14"/>
  <c r="J43" i="14" s="1"/>
  <c r="N34" i="14"/>
  <c r="S11" i="53"/>
  <c r="S14" i="53"/>
  <c r="S28" i="53"/>
  <c r="S17" i="53"/>
  <c r="S34" i="53"/>
  <c r="S31" i="53"/>
  <c r="S40" i="53"/>
  <c r="S36" i="53"/>
  <c r="S47" i="53"/>
  <c r="S5" i="53"/>
  <c r="S12" i="53"/>
  <c r="S29" i="53"/>
  <c r="C10" i="53"/>
  <c r="S41" i="53"/>
  <c r="S9" i="53"/>
  <c r="S18" i="53"/>
  <c r="S39" i="53"/>
  <c r="S21" i="53"/>
  <c r="S20" i="53"/>
  <c r="S42" i="53"/>
  <c r="S48" i="53"/>
  <c r="S38" i="53"/>
  <c r="S49" i="53"/>
  <c r="S37" i="53"/>
  <c r="S10" i="53"/>
  <c r="F10" i="53"/>
  <c r="D10" i="53"/>
  <c r="J21" i="37"/>
  <c r="J36" i="15"/>
  <c r="I57" i="15"/>
  <c r="E76" i="15"/>
  <c r="N30" i="6"/>
  <c r="H37" i="36"/>
  <c r="L37" i="36"/>
  <c r="D37" i="36"/>
  <c r="J37" i="36"/>
  <c r="M37" i="36"/>
  <c r="G34" i="36"/>
  <c r="C34" i="36"/>
  <c r="C41" i="36" s="1"/>
  <c r="C42" i="36" s="1"/>
  <c r="D20" i="15"/>
  <c r="D77" i="58" s="1"/>
  <c r="K37" i="36"/>
  <c r="K39" i="36"/>
  <c r="J39" i="36"/>
  <c r="N39" i="36"/>
  <c r="D39" i="36"/>
  <c r="F10" i="4"/>
  <c r="N33" i="14" s="1"/>
  <c r="E13" i="4"/>
  <c r="G5" i="36" s="1"/>
  <c r="F2" i="7"/>
  <c r="E69" i="11" s="1"/>
  <c r="Q12" i="36"/>
  <c r="R12" i="36"/>
  <c r="K25" i="8"/>
  <c r="E22" i="13" s="1"/>
  <c r="I41" i="14"/>
  <c r="J41" i="14" s="1"/>
  <c r="N17" i="6"/>
  <c r="N19" i="6"/>
  <c r="F5" i="15" s="1"/>
  <c r="F62" i="58" s="1"/>
  <c r="P6" i="14"/>
  <c r="P8" i="14" s="1"/>
  <c r="P10" i="14" s="1"/>
  <c r="P26" i="14" s="1"/>
  <c r="P29" i="14" s="1"/>
  <c r="P33" i="14" s="1"/>
  <c r="P34" i="14" s="1"/>
  <c r="F41" i="6"/>
  <c r="G53" i="11" s="1"/>
  <c r="G54" i="11" s="1"/>
  <c r="H12" i="36"/>
  <c r="G27" i="7"/>
  <c r="H27" i="7" s="1"/>
  <c r="G12" i="36"/>
  <c r="H51" i="11"/>
  <c r="AA119" i="24"/>
  <c r="AA120" i="24"/>
  <c r="AA118" i="24"/>
  <c r="AA112" i="24"/>
  <c r="AA115" i="24"/>
  <c r="AA113" i="24"/>
  <c r="AA111" i="24"/>
  <c r="AA114" i="24"/>
  <c r="AA86" i="13"/>
  <c r="AA84" i="13"/>
  <c r="AA85" i="13"/>
  <c r="AA81" i="13"/>
  <c r="AA79" i="13"/>
  <c r="AA80" i="13"/>
  <c r="E67" i="11"/>
  <c r="H33" i="11"/>
  <c r="H35" i="11" s="1"/>
  <c r="H8" i="11"/>
  <c r="AH56" i="13"/>
  <c r="AG56" i="13"/>
  <c r="I37" i="13"/>
  <c r="AF37" i="13"/>
  <c r="D74" i="13"/>
  <c r="C74" i="13"/>
  <c r="H35" i="13"/>
  <c r="M19" i="7"/>
  <c r="L81" i="13"/>
  <c r="W82" i="13"/>
  <c r="AA77" i="13"/>
  <c r="G25" i="14"/>
  <c r="E5" i="32"/>
  <c r="E228" i="58" s="1"/>
  <c r="B34" i="52"/>
  <c r="B76" i="52"/>
  <c r="U6" i="54"/>
  <c r="B7" i="54"/>
  <c r="C5" i="53"/>
  <c r="C6" i="53"/>
  <c r="D4" i="53"/>
  <c r="U9" i="54"/>
  <c r="U10" i="54"/>
  <c r="B75" i="54"/>
  <c r="D23" i="52"/>
  <c r="D25" i="52" s="1"/>
  <c r="B27" i="52"/>
  <c r="B28" i="52" s="1"/>
  <c r="C48" i="53" s="1"/>
  <c r="G7" i="47"/>
  <c r="F7" i="47"/>
  <c r="F8" i="47"/>
  <c r="G8" i="47"/>
  <c r="F36" i="36"/>
  <c r="K36" i="36"/>
  <c r="J36" i="36"/>
  <c r="L34" i="36"/>
  <c r="L36" i="36"/>
  <c r="K34" i="36"/>
  <c r="M34" i="36"/>
  <c r="G36" i="36"/>
  <c r="F34" i="36"/>
  <c r="D34" i="36"/>
  <c r="H36" i="36"/>
  <c r="H34" i="36"/>
  <c r="J34" i="36"/>
  <c r="I36" i="36"/>
  <c r="D36" i="36"/>
  <c r="M36" i="36"/>
  <c r="E34" i="36"/>
  <c r="E41" i="36" s="1"/>
  <c r="E42" i="36" s="1"/>
  <c r="N34" i="36"/>
  <c r="I34" i="36"/>
  <c r="N36" i="36"/>
  <c r="G72" i="7"/>
  <c r="F76" i="7" s="1"/>
  <c r="G86" i="7" s="1"/>
  <c r="J104" i="7" s="1"/>
  <c r="G26" i="7"/>
  <c r="H26" i="7" s="1"/>
  <c r="F41" i="7"/>
  <c r="G25" i="7"/>
  <c r="H25" i="7" s="1"/>
  <c r="G8" i="14"/>
  <c r="F112" i="24"/>
  <c r="N74" i="13"/>
  <c r="N45" i="13"/>
  <c r="G112" i="24"/>
  <c r="AN3" i="52"/>
  <c r="F115" i="13"/>
  <c r="Z82" i="13" s="1"/>
  <c r="AA82" i="13" s="1"/>
  <c r="B48" i="54"/>
  <c r="B51" i="54" s="1"/>
  <c r="B4" i="54"/>
  <c r="D107" i="24"/>
  <c r="F76" i="24"/>
  <c r="G76" i="24"/>
  <c r="B12" i="54"/>
  <c r="C29" i="53"/>
  <c r="F36" i="53" s="1"/>
  <c r="F35" i="53"/>
  <c r="C43" i="53" s="1"/>
  <c r="C35" i="53"/>
  <c r="D31" i="53"/>
  <c r="F31" i="53"/>
  <c r="B31" i="53"/>
  <c r="E33" i="53"/>
  <c r="G53" i="13"/>
  <c r="H53" i="13"/>
  <c r="A96" i="52"/>
  <c r="G81" i="13"/>
  <c r="H9" i="53"/>
  <c r="C33" i="53"/>
  <c r="G35" i="53"/>
  <c r="B33" i="53"/>
  <c r="B35" i="53"/>
  <c r="D33" i="53"/>
  <c r="G33" i="53"/>
  <c r="E31" i="53"/>
  <c r="G31" i="53"/>
  <c r="C31" i="53"/>
  <c r="D35" i="53"/>
  <c r="E35" i="53"/>
  <c r="F33" i="53"/>
  <c r="E81" i="13"/>
  <c r="F81" i="13"/>
  <c r="E68" i="11" l="1"/>
  <c r="I40" i="58"/>
  <c r="H55" i="15"/>
  <c r="I55" i="15" s="1"/>
  <c r="F41" i="36"/>
  <c r="F42" i="36" s="1"/>
  <c r="G81" i="15"/>
  <c r="P6" i="6" s="1"/>
  <c r="P19" i="6" s="1"/>
  <c r="V11" i="54"/>
  <c r="V6" i="54"/>
  <c r="U3" i="54"/>
  <c r="V10" i="54"/>
  <c r="B6" i="52"/>
  <c r="V12" i="54"/>
  <c r="U5" i="54"/>
  <c r="U7" i="54"/>
  <c r="U8" i="54"/>
  <c r="V3" i="54"/>
  <c r="V5" i="54"/>
  <c r="V9" i="54"/>
  <c r="V4" i="54"/>
  <c r="N10" i="52"/>
  <c r="N11" i="52"/>
  <c r="B112" i="52"/>
  <c r="A88" i="14"/>
  <c r="E78" i="15"/>
  <c r="H37" i="58"/>
  <c r="I41" i="58"/>
  <c r="H10" i="14"/>
  <c r="P8" i="8"/>
  <c r="P11" i="8" s="1"/>
  <c r="E125" i="58"/>
  <c r="G5" i="41"/>
  <c r="G7" i="41" s="1"/>
  <c r="C14" i="58"/>
  <c r="B7" i="52"/>
  <c r="V8" i="54"/>
  <c r="U11" i="54"/>
  <c r="G146" i="58"/>
  <c r="G175" i="58"/>
  <c r="V7" i="54"/>
  <c r="E66" i="11"/>
  <c r="F39" i="7"/>
  <c r="N35" i="14"/>
  <c r="H10" i="53"/>
  <c r="C11" i="53" s="1"/>
  <c r="G11" i="53"/>
  <c r="E11" i="53"/>
  <c r="D11" i="53"/>
  <c r="G32" i="53"/>
  <c r="K41" i="36"/>
  <c r="K42" i="36" s="1"/>
  <c r="H62" i="15"/>
  <c r="B90" i="15" s="1"/>
  <c r="G41" i="36"/>
  <c r="G42" i="36" s="1"/>
  <c r="E5" i="15"/>
  <c r="E62" i="58" s="1"/>
  <c r="I41" i="36"/>
  <c r="I42" i="36" s="1"/>
  <c r="F21" i="15"/>
  <c r="F78" i="58" s="1"/>
  <c r="P23" i="15"/>
  <c r="F23" i="15"/>
  <c r="J39" i="15" s="1"/>
  <c r="H8" i="8"/>
  <c r="H11" i="8" s="1"/>
  <c r="F45" i="7"/>
  <c r="Q45" i="7"/>
  <c r="G89" i="7"/>
  <c r="J105" i="7" s="1"/>
  <c r="Q89" i="7"/>
  <c r="G6" i="36"/>
  <c r="B19" i="52" s="1"/>
  <c r="W8" i="53" s="1"/>
  <c r="F11" i="7"/>
  <c r="Q15" i="7" s="1"/>
  <c r="Q16" i="7" s="1"/>
  <c r="H4" i="11"/>
  <c r="H6" i="11" s="1"/>
  <c r="H37" i="11" s="1"/>
  <c r="H39" i="11" s="1"/>
  <c r="H45" i="11" s="1"/>
  <c r="J38" i="15"/>
  <c r="G26" i="14"/>
  <c r="G29" i="14" s="1"/>
  <c r="P5" i="15"/>
  <c r="W30" i="53"/>
  <c r="G38" i="53"/>
  <c r="E38" i="53"/>
  <c r="D38" i="53"/>
  <c r="C38" i="53"/>
  <c r="F38" i="53"/>
  <c r="H60" i="13"/>
  <c r="G12" i="32" s="1"/>
  <c r="G236" i="58" s="1"/>
  <c r="AG37" i="13"/>
  <c r="C76" i="13"/>
  <c r="A90" i="14"/>
  <c r="M24" i="14" s="1"/>
  <c r="G36" i="58" s="1"/>
  <c r="F5" i="32"/>
  <c r="F228" i="58" s="1"/>
  <c r="F2" i="47"/>
  <c r="C12" i="47" s="1"/>
  <c r="G12" i="47" s="1"/>
  <c r="G5" i="32"/>
  <c r="G228" i="58" s="1"/>
  <c r="E2" i="47"/>
  <c r="C11" i="47" s="1"/>
  <c r="G11" i="47" s="1"/>
  <c r="H7" i="47"/>
  <c r="C36" i="53"/>
  <c r="D34" i="53"/>
  <c r="C32" i="53"/>
  <c r="B79" i="54"/>
  <c r="H8" i="47"/>
  <c r="J41" i="36"/>
  <c r="J42" i="36" s="1"/>
  <c r="L41" i="36"/>
  <c r="L42" i="36" s="1"/>
  <c r="N41" i="36"/>
  <c r="N42" i="36" s="1"/>
  <c r="M41" i="36"/>
  <c r="M42" i="36" s="1"/>
  <c r="D41" i="36"/>
  <c r="D42" i="36" s="1"/>
  <c r="H41" i="36"/>
  <c r="H42" i="36" s="1"/>
  <c r="F58" i="13"/>
  <c r="N46" i="13"/>
  <c r="C34" i="53"/>
  <c r="D36" i="53"/>
  <c r="B32" i="53"/>
  <c r="F34" i="53"/>
  <c r="E32" i="53"/>
  <c r="G34" i="53"/>
  <c r="B36" i="53"/>
  <c r="G36" i="53"/>
  <c r="E36" i="53"/>
  <c r="B34" i="53"/>
  <c r="E34" i="53"/>
  <c r="D32" i="53"/>
  <c r="F32" i="53"/>
  <c r="U14" i="54" l="1"/>
  <c r="P41" i="6"/>
  <c r="L53" i="11" s="1"/>
  <c r="L54" i="11" s="1"/>
  <c r="L56" i="11" s="1"/>
  <c r="AF57" i="13" s="1"/>
  <c r="AG57" i="13" s="1"/>
  <c r="P30" i="6"/>
  <c r="P35" i="6" s="1"/>
  <c r="A9" i="52"/>
  <c r="N12" i="52"/>
  <c r="V14" i="54"/>
  <c r="W27" i="53"/>
  <c r="D90" i="52"/>
  <c r="B89" i="15"/>
  <c r="H63" i="15" s="1"/>
  <c r="W29" i="53"/>
  <c r="W14" i="53"/>
  <c r="G37" i="53"/>
  <c r="C37" i="53"/>
  <c r="W31" i="53"/>
  <c r="W10" i="53"/>
  <c r="H60" i="14"/>
  <c r="Q39" i="7"/>
  <c r="Q40" i="7" s="1"/>
  <c r="Q42" i="7" s="1"/>
  <c r="Q47" i="7" s="1"/>
  <c r="Q49" i="7" s="1"/>
  <c r="Q50" i="7" s="1"/>
  <c r="F40" i="7"/>
  <c r="F42" i="7" s="1"/>
  <c r="F39" i="53"/>
  <c r="F41" i="53" s="1"/>
  <c r="X23" i="53" s="1"/>
  <c r="W22" i="53"/>
  <c r="W9" i="53"/>
  <c r="W21" i="53"/>
  <c r="W28" i="53"/>
  <c r="C39" i="53"/>
  <c r="C41" i="53" s="1"/>
  <c r="W6" i="53"/>
  <c r="W13" i="53"/>
  <c r="W26" i="53"/>
  <c r="W19" i="53"/>
  <c r="W23" i="53"/>
  <c r="W15" i="53"/>
  <c r="W12" i="53"/>
  <c r="W18" i="53"/>
  <c r="W4" i="53"/>
  <c r="D39" i="53"/>
  <c r="D41" i="53" s="1"/>
  <c r="X9" i="53" s="1"/>
  <c r="D37" i="53"/>
  <c r="W20" i="53"/>
  <c r="W24" i="53"/>
  <c r="W7" i="53"/>
  <c r="E37" i="53"/>
  <c r="W16" i="53"/>
  <c r="G39" i="53"/>
  <c r="G41" i="53" s="1"/>
  <c r="F37" i="53"/>
  <c r="E39" i="53"/>
  <c r="E41" i="53" s="1"/>
  <c r="X18" i="53" s="1"/>
  <c r="F11" i="53"/>
  <c r="H11" i="53" s="1"/>
  <c r="F33" i="7"/>
  <c r="F34" i="7" s="1"/>
  <c r="E26" i="13" s="1"/>
  <c r="F24" i="15"/>
  <c r="H57" i="14"/>
  <c r="H56" i="14" s="1"/>
  <c r="H58" i="14"/>
  <c r="H59" i="14"/>
  <c r="H54" i="14"/>
  <c r="J15" i="7"/>
  <c r="J14" i="7"/>
  <c r="G23" i="7" s="1"/>
  <c r="H23" i="7" s="1"/>
  <c r="I23" i="7" s="1"/>
  <c r="H47" i="11"/>
  <c r="W5" i="53"/>
  <c r="W11" i="53"/>
  <c r="W17" i="53"/>
  <c r="W25" i="53"/>
  <c r="L58" i="11"/>
  <c r="L59" i="11" s="1"/>
  <c r="L64" i="11" s="1"/>
  <c r="S36" i="36"/>
  <c r="S42" i="36" s="1"/>
  <c r="AB36" i="36"/>
  <c r="AB42" i="36" s="1"/>
  <c r="AA36" i="36"/>
  <c r="AA42" i="36" s="1"/>
  <c r="R36" i="36"/>
  <c r="R42" i="36" s="1"/>
  <c r="Z36" i="36"/>
  <c r="Z42" i="36" s="1"/>
  <c r="T36" i="36"/>
  <c r="T42" i="36" s="1"/>
  <c r="Q36" i="36"/>
  <c r="Q42" i="36" s="1"/>
  <c r="U36" i="36"/>
  <c r="U42" i="36" s="1"/>
  <c r="AH57" i="13"/>
  <c r="P10" i="15"/>
  <c r="G82" i="15"/>
  <c r="P15" i="15" s="1"/>
  <c r="F12" i="47"/>
  <c r="H12" i="47" s="1"/>
  <c r="F11" i="47"/>
  <c r="H11" i="47" s="1"/>
  <c r="O42" i="36"/>
  <c r="H43" i="11"/>
  <c r="H49" i="11" s="1"/>
  <c r="G56" i="11" s="1"/>
  <c r="F59" i="13"/>
  <c r="M78" i="13"/>
  <c r="D79" i="13"/>
  <c r="G58" i="13"/>
  <c r="F10" i="32" s="1"/>
  <c r="F234" i="58" s="1"/>
  <c r="H58" i="13"/>
  <c r="G10" i="32" s="1"/>
  <c r="G234" i="58" s="1"/>
  <c r="E10" i="32"/>
  <c r="E234" i="58" s="1"/>
  <c r="C44" i="53"/>
  <c r="G45" i="53" s="1"/>
  <c r="V34" i="53" l="1"/>
  <c r="V38" i="53"/>
  <c r="V32" i="53"/>
  <c r="V42" i="53"/>
  <c r="V35" i="53"/>
  <c r="V51" i="53"/>
  <c r="V36" i="53"/>
  <c r="V41" i="53"/>
  <c r="V46" i="53"/>
  <c r="V39" i="53"/>
  <c r="V37" i="53"/>
  <c r="V40" i="53"/>
  <c r="V49" i="53"/>
  <c r="V50" i="53"/>
  <c r="V43" i="53"/>
  <c r="V45" i="53"/>
  <c r="V44" i="53"/>
  <c r="V33" i="53"/>
  <c r="V47" i="53"/>
  <c r="V48" i="53"/>
  <c r="N4" i="53"/>
  <c r="X4" i="53" s="1"/>
  <c r="F57" i="13"/>
  <c r="H57" i="13" s="1"/>
  <c r="G119" i="58"/>
  <c r="G33" i="14"/>
  <c r="F34" i="58" s="1"/>
  <c r="X28" i="53"/>
  <c r="X30" i="53" s="1"/>
  <c r="K28" i="15"/>
  <c r="F80" i="58"/>
  <c r="X15" i="53"/>
  <c r="X12" i="53"/>
  <c r="X20" i="53"/>
  <c r="X22" i="53"/>
  <c r="X14" i="53"/>
  <c r="X19" i="53"/>
  <c r="X11" i="53"/>
  <c r="Q54" i="7"/>
  <c r="Q102" i="7" s="1"/>
  <c r="Q103" i="7" s="1"/>
  <c r="L65" i="11" s="1"/>
  <c r="L70" i="11" s="1"/>
  <c r="X10" i="53"/>
  <c r="X17" i="53"/>
  <c r="X13" i="53"/>
  <c r="X21" i="53"/>
  <c r="X16" i="53"/>
  <c r="G8" i="41"/>
  <c r="G9" i="41" s="1"/>
  <c r="P21" i="15"/>
  <c r="P24" i="15" s="1"/>
  <c r="P27" i="15" s="1"/>
  <c r="Q14" i="36" s="1"/>
  <c r="Q17" i="36" s="1"/>
  <c r="G24" i="7"/>
  <c r="H24" i="7" s="1"/>
  <c r="L15" i="7"/>
  <c r="L14" i="7"/>
  <c r="I29" i="7"/>
  <c r="F98" i="7" s="1"/>
  <c r="P20" i="15"/>
  <c r="X7" i="53"/>
  <c r="E46" i="53"/>
  <c r="F45" i="53"/>
  <c r="G58" i="11"/>
  <c r="G59" i="11" s="1"/>
  <c r="E64" i="11" s="1"/>
  <c r="E80" i="24"/>
  <c r="H59" i="13"/>
  <c r="G11" i="32" s="1"/>
  <c r="G235" i="58" s="1"/>
  <c r="G59" i="13"/>
  <c r="F11" i="32" s="1"/>
  <c r="F235" i="58" s="1"/>
  <c r="E11" i="32"/>
  <c r="E235" i="58" s="1"/>
  <c r="G46" i="53"/>
  <c r="C45" i="53"/>
  <c r="F46" i="53"/>
  <c r="D45" i="53"/>
  <c r="C46" i="53"/>
  <c r="D46" i="53"/>
  <c r="E45" i="53"/>
  <c r="C78" i="13" l="1"/>
  <c r="X5" i="53"/>
  <c r="X6" i="53"/>
  <c r="X8" i="53"/>
  <c r="X26" i="53"/>
  <c r="G57" i="13"/>
  <c r="G47" i="14"/>
  <c r="E24" i="13" s="1"/>
  <c r="E27" i="13" s="1"/>
  <c r="F56" i="13" s="1"/>
  <c r="H56" i="13" s="1"/>
  <c r="G34" i="14"/>
  <c r="F27" i="15" s="1"/>
  <c r="F28" i="15" s="1"/>
  <c r="F83" i="58" s="1"/>
  <c r="X27" i="53"/>
  <c r="X25" i="53"/>
  <c r="X29" i="53"/>
  <c r="X31" i="53"/>
  <c r="E9" i="32"/>
  <c r="E232" i="58" s="1"/>
  <c r="X24" i="53"/>
  <c r="Q100" i="7"/>
  <c r="AF17" i="13" s="1"/>
  <c r="AF54" i="13" s="1"/>
  <c r="AH54" i="13" s="1"/>
  <c r="Q20" i="36"/>
  <c r="Q26" i="36" s="1"/>
  <c r="Q27" i="36" s="1"/>
  <c r="Q28" i="36" s="1"/>
  <c r="Q29" i="36" s="1"/>
  <c r="P12" i="8" s="1"/>
  <c r="P13" i="8" s="1"/>
  <c r="L20" i="7"/>
  <c r="F47" i="7" s="1"/>
  <c r="F80" i="24"/>
  <c r="F9" i="32" s="1"/>
  <c r="F232" i="58" s="1"/>
  <c r="C111" i="24"/>
  <c r="G80" i="24"/>
  <c r="G9" i="32" s="1"/>
  <c r="G232" i="58" s="1"/>
  <c r="U44" i="36"/>
  <c r="T44" i="36"/>
  <c r="S44" i="36"/>
  <c r="Q44" i="36"/>
  <c r="AA44" i="36"/>
  <c r="AB44" i="36"/>
  <c r="R44" i="36"/>
  <c r="Z44" i="36"/>
  <c r="AG54" i="13" l="1"/>
  <c r="C77" i="13"/>
  <c r="F35" i="58"/>
  <c r="G56" i="13"/>
  <c r="K29" i="15"/>
  <c r="H20" i="36"/>
  <c r="H26" i="36" s="1"/>
  <c r="H27" i="36" s="1"/>
  <c r="H28" i="36" s="1"/>
  <c r="H29" i="36" s="1"/>
  <c r="C48" i="36" s="1"/>
  <c r="C49" i="36" s="1"/>
  <c r="G14" i="36"/>
  <c r="G17" i="36" s="1"/>
  <c r="F82" i="58"/>
  <c r="B3" i="52"/>
  <c r="B4" i="52" s="1"/>
  <c r="C47" i="53" s="1"/>
  <c r="U48" i="36"/>
  <c r="U49" i="36" s="1"/>
  <c r="U50" i="36" s="1"/>
  <c r="U51" i="36" s="1"/>
  <c r="U52" i="36" s="1"/>
  <c r="U53" i="36" s="1"/>
  <c r="U55" i="36" s="1"/>
  <c r="T48" i="36"/>
  <c r="T49" i="36" s="1"/>
  <c r="T50" i="36" s="1"/>
  <c r="T51" i="36" s="1"/>
  <c r="T52" i="36" s="1"/>
  <c r="T53" i="36" s="1"/>
  <c r="T55" i="36" s="1"/>
  <c r="Q48" i="36"/>
  <c r="Q49" i="36" s="1"/>
  <c r="Q50" i="36" s="1"/>
  <c r="Q51" i="36" s="1"/>
  <c r="Q52" i="36" s="1"/>
  <c r="Q53" i="36" s="1"/>
  <c r="Q55" i="36" s="1"/>
  <c r="Z48" i="36"/>
  <c r="Z49" i="36" s="1"/>
  <c r="Z50" i="36" s="1"/>
  <c r="Z51" i="36" s="1"/>
  <c r="Z52" i="36" s="1"/>
  <c r="Z53" i="36" s="1"/>
  <c r="Z55" i="36" s="1"/>
  <c r="AB48" i="36"/>
  <c r="AB49" i="36" s="1"/>
  <c r="AB50" i="36" s="1"/>
  <c r="AB51" i="36" s="1"/>
  <c r="AB52" i="36" s="1"/>
  <c r="AB53" i="36" s="1"/>
  <c r="AB55" i="36" s="1"/>
  <c r="R48" i="36"/>
  <c r="R49" i="36" s="1"/>
  <c r="R50" i="36" s="1"/>
  <c r="R51" i="36" s="1"/>
  <c r="R52" i="36" s="1"/>
  <c r="R53" i="36" s="1"/>
  <c r="R55" i="36" s="1"/>
  <c r="S48" i="36"/>
  <c r="S49" i="36" s="1"/>
  <c r="S50" i="36" s="1"/>
  <c r="S51" i="36" s="1"/>
  <c r="S52" i="36" s="1"/>
  <c r="S53" i="36" s="1"/>
  <c r="S55" i="36" s="1"/>
  <c r="AA48" i="36"/>
  <c r="AA49" i="36" s="1"/>
  <c r="AA50" i="36" s="1"/>
  <c r="AA51" i="36" s="1"/>
  <c r="AA52" i="36" s="1"/>
  <c r="AA53" i="36" s="1"/>
  <c r="AA55" i="36" s="1"/>
  <c r="F49" i="7"/>
  <c r="J22" i="37"/>
  <c r="J23" i="37" s="1"/>
  <c r="J24" i="37" s="1"/>
  <c r="D48" i="36" l="1"/>
  <c r="D49" i="36" s="1"/>
  <c r="F48" i="36"/>
  <c r="F49" i="36" s="1"/>
  <c r="K48" i="36"/>
  <c r="K49" i="36" s="1"/>
  <c r="G48" i="36"/>
  <c r="G49" i="36" s="1"/>
  <c r="H12" i="8"/>
  <c r="H13" i="8" s="1"/>
  <c r="E48" i="36"/>
  <c r="E49" i="36" s="1"/>
  <c r="J48" i="36"/>
  <c r="J49" i="36" s="1"/>
  <c r="N48" i="36"/>
  <c r="N49" i="36" s="1"/>
  <c r="M48" i="36"/>
  <c r="M49" i="36" s="1"/>
  <c r="L48" i="36"/>
  <c r="L49" i="36" s="1"/>
  <c r="H48" i="36"/>
  <c r="H49" i="36" s="1"/>
  <c r="I48" i="36"/>
  <c r="I49" i="36" s="1"/>
  <c r="Q57" i="36"/>
  <c r="P14" i="8" s="1"/>
  <c r="AF11" i="13" s="1"/>
  <c r="AF53" i="13" s="1"/>
  <c r="AG53" i="13" s="1"/>
  <c r="P28" i="8"/>
  <c r="P29" i="8" s="1"/>
  <c r="F50" i="7"/>
  <c r="G54" i="7"/>
  <c r="E87" i="58" s="1"/>
  <c r="C49" i="53"/>
  <c r="J47" i="53"/>
  <c r="AG24" i="53" s="1"/>
  <c r="O48" i="36" l="1"/>
  <c r="F102" i="7"/>
  <c r="F103" i="7" s="1"/>
  <c r="P30" i="8"/>
  <c r="P37" i="8" s="1"/>
  <c r="AF10" i="13" s="1"/>
  <c r="AF52" i="13" s="1"/>
  <c r="AH53" i="13"/>
  <c r="J103" i="7"/>
  <c r="F101" i="7"/>
  <c r="G114" i="58" s="1"/>
  <c r="J12" i="37"/>
  <c r="J13" i="37" s="1"/>
  <c r="J15" i="37" s="1"/>
  <c r="J25" i="37" s="1"/>
  <c r="G81" i="7" s="1"/>
  <c r="C105" i="7" s="1"/>
  <c r="J102" i="7"/>
  <c r="AH24" i="53"/>
  <c r="AI24" i="53"/>
  <c r="G51" i="53"/>
  <c r="G53" i="53" s="1"/>
  <c r="G55" i="53" s="1"/>
  <c r="C51" i="53"/>
  <c r="C53" i="53" s="1"/>
  <c r="C55" i="53" s="1"/>
  <c r="F51" i="53"/>
  <c r="F53" i="53" s="1"/>
  <c r="F55" i="53" s="1"/>
  <c r="G50" i="53"/>
  <c r="G52" i="53" s="1"/>
  <c r="G54" i="53" s="1"/>
  <c r="F50" i="53"/>
  <c r="F52" i="53" s="1"/>
  <c r="F54" i="53" s="1"/>
  <c r="D51" i="53"/>
  <c r="D53" i="53" s="1"/>
  <c r="D55" i="53" s="1"/>
  <c r="E50" i="53"/>
  <c r="E52" i="53" s="1"/>
  <c r="E54" i="53" s="1"/>
  <c r="D50" i="53"/>
  <c r="D52" i="53" s="1"/>
  <c r="D54" i="53" s="1"/>
  <c r="E51" i="53"/>
  <c r="E53" i="53" s="1"/>
  <c r="E55" i="53" s="1"/>
  <c r="C50" i="53"/>
  <c r="C52" i="53" s="1"/>
  <c r="C54" i="53" s="1"/>
  <c r="O49" i="36"/>
  <c r="G106" i="58" l="1"/>
  <c r="F96" i="7"/>
  <c r="Z75" i="13"/>
  <c r="AA75" i="13" s="1"/>
  <c r="J107" i="7"/>
  <c r="E65" i="11"/>
  <c r="E70" i="11" s="1"/>
  <c r="L44" i="36" s="1"/>
  <c r="G115" i="58"/>
  <c r="C56" i="53"/>
  <c r="C80" i="53" s="1"/>
  <c r="E78" i="24"/>
  <c r="J18" i="13"/>
  <c r="F55" i="13" s="1"/>
  <c r="F56" i="53"/>
  <c r="F80" i="53" s="1"/>
  <c r="AH52" i="13"/>
  <c r="AH59" i="13" s="1"/>
  <c r="G35" i="32" s="1"/>
  <c r="G26" i="32" s="1"/>
  <c r="AG52" i="13"/>
  <c r="AG59" i="13" s="1"/>
  <c r="E35" i="32" s="1"/>
  <c r="E26" i="32" s="1"/>
  <c r="D56" i="53"/>
  <c r="D80" i="53" s="1"/>
  <c r="G56" i="53"/>
  <c r="G80" i="53" s="1"/>
  <c r="E56" i="53"/>
  <c r="E80" i="53" s="1"/>
  <c r="J44" i="36" l="1"/>
  <c r="J50" i="36" s="1"/>
  <c r="J51" i="36" s="1"/>
  <c r="J52" i="36" s="1"/>
  <c r="J53" i="36" s="1"/>
  <c r="J55" i="36" s="1"/>
  <c r="C44" i="36"/>
  <c r="C50" i="36" s="1"/>
  <c r="C51" i="36" s="1"/>
  <c r="H44" i="36"/>
  <c r="H50" i="36" s="1"/>
  <c r="H51" i="36" s="1"/>
  <c r="H64" i="36" s="1"/>
  <c r="E44" i="36"/>
  <c r="E50" i="36" s="1"/>
  <c r="E51" i="36" s="1"/>
  <c r="E64" i="36" s="1"/>
  <c r="G122" i="58"/>
  <c r="D210" i="58"/>
  <c r="D160" i="58"/>
  <c r="F100" i="7"/>
  <c r="A106" i="7"/>
  <c r="K106" i="58"/>
  <c r="D44" i="36"/>
  <c r="D50" i="36" s="1"/>
  <c r="D51" i="36" s="1"/>
  <c r="D52" i="36" s="1"/>
  <c r="D53" i="36" s="1"/>
  <c r="D55" i="36" s="1"/>
  <c r="G12" i="41"/>
  <c r="G13" i="41" s="1"/>
  <c r="G14" i="41" s="1"/>
  <c r="G19" i="41" s="1"/>
  <c r="I44" i="36"/>
  <c r="I50" i="36" s="1"/>
  <c r="I51" i="36" s="1"/>
  <c r="I52" i="36" s="1"/>
  <c r="I53" i="36" s="1"/>
  <c r="I55" i="36" s="1"/>
  <c r="F44" i="36"/>
  <c r="F50" i="36" s="1"/>
  <c r="F51" i="36" s="1"/>
  <c r="F63" i="36" s="1"/>
  <c r="K44" i="36"/>
  <c r="K50" i="36" s="1"/>
  <c r="K51" i="36" s="1"/>
  <c r="M44" i="36"/>
  <c r="M50" i="36" s="1"/>
  <c r="M51" i="36" s="1"/>
  <c r="M52" i="36" s="1"/>
  <c r="M53" i="36" s="1"/>
  <c r="M55" i="36" s="1"/>
  <c r="N44" i="36"/>
  <c r="N50" i="36" s="1"/>
  <c r="N51" i="36" s="1"/>
  <c r="N63" i="36" s="1"/>
  <c r="G44" i="36"/>
  <c r="G50" i="36" s="1"/>
  <c r="G51" i="36" s="1"/>
  <c r="G52" i="36" s="1"/>
  <c r="G53" i="36" s="1"/>
  <c r="G55" i="36" s="1"/>
  <c r="H52" i="36"/>
  <c r="H53" i="36" s="1"/>
  <c r="H55" i="36" s="1"/>
  <c r="AG60" i="13"/>
  <c r="F78" i="24"/>
  <c r="G78" i="24"/>
  <c r="L50" i="36"/>
  <c r="L51" i="36" s="1"/>
  <c r="L52" i="36" s="1"/>
  <c r="L53" i="36" s="1"/>
  <c r="L55" i="36" s="1"/>
  <c r="D76" i="13"/>
  <c r="G55" i="13"/>
  <c r="F7" i="32" s="1"/>
  <c r="F230" i="58" s="1"/>
  <c r="H55" i="13"/>
  <c r="G7" i="32" s="1"/>
  <c r="G230" i="58" s="1"/>
  <c r="E7" i="32"/>
  <c r="E230" i="58" s="1"/>
  <c r="AH60" i="13"/>
  <c r="E52" i="36" l="1"/>
  <c r="E53" i="36" s="1"/>
  <c r="E55" i="36" s="1"/>
  <c r="H63" i="36"/>
  <c r="J63" i="36"/>
  <c r="J64" i="36"/>
  <c r="E63" i="36"/>
  <c r="G113" i="58"/>
  <c r="E77" i="24"/>
  <c r="N18" i="13"/>
  <c r="F64" i="36"/>
  <c r="F52" i="36"/>
  <c r="F53" i="36" s="1"/>
  <c r="F55" i="36" s="1"/>
  <c r="O44" i="36"/>
  <c r="N64" i="36"/>
  <c r="N52" i="36"/>
  <c r="N53" i="36" s="1"/>
  <c r="N55" i="36" s="1"/>
  <c r="I64" i="36"/>
  <c r="I63" i="36"/>
  <c r="K63" i="36"/>
  <c r="K64" i="36"/>
  <c r="G64" i="36"/>
  <c r="G63" i="36"/>
  <c r="L64" i="36"/>
  <c r="L63" i="36"/>
  <c r="K52" i="36"/>
  <c r="K53" i="36" s="1"/>
  <c r="K55" i="36" s="1"/>
  <c r="C52" i="36"/>
  <c r="C64" i="36"/>
  <c r="C63" i="36"/>
  <c r="K28" i="8"/>
  <c r="K29" i="8" s="1"/>
  <c r="O51" i="36"/>
  <c r="D64" i="36"/>
  <c r="D63" i="36"/>
  <c r="M63" i="36"/>
  <c r="M64" i="36"/>
  <c r="O63" i="36" l="1"/>
  <c r="O64" i="36"/>
  <c r="C53" i="36"/>
  <c r="O52" i="36"/>
  <c r="C55" i="36" l="1"/>
  <c r="O53" i="36"/>
  <c r="F58" i="36" l="1"/>
  <c r="F57" i="36"/>
  <c r="H14" i="8" l="1"/>
  <c r="K30" i="8" s="1"/>
  <c r="K37" i="8" s="1"/>
  <c r="H13" i="24" s="1"/>
  <c r="P27" i="24" s="1"/>
  <c r="E127" i="58"/>
  <c r="S27" i="24" l="1"/>
  <c r="B69" i="52" s="1"/>
  <c r="F114" i="13"/>
  <c r="N8" i="13" s="1"/>
  <c r="B17" i="52" s="1"/>
  <c r="E75" i="24"/>
  <c r="H50" i="24" s="1"/>
  <c r="E79" i="24" s="1"/>
  <c r="E8" i="32" s="1"/>
  <c r="E231" i="58" s="1"/>
  <c r="D115" i="52" l="1"/>
  <c r="L102" i="24" s="1"/>
  <c r="G8" i="53"/>
  <c r="G60" i="53" s="1"/>
  <c r="C8" i="53"/>
  <c r="C60" i="53" s="1"/>
  <c r="F8" i="53"/>
  <c r="F60" i="53" s="1"/>
  <c r="D8" i="53"/>
  <c r="D60" i="53" s="1"/>
  <c r="E8" i="53"/>
  <c r="E60" i="53" s="1"/>
  <c r="D116" i="52"/>
  <c r="L103" i="24" s="1"/>
  <c r="F12" i="53"/>
  <c r="C12" i="53"/>
  <c r="E12" i="53"/>
  <c r="B19" i="54"/>
  <c r="D12" i="53"/>
  <c r="G12" i="53"/>
  <c r="B43" i="54"/>
  <c r="B61" i="54" s="1"/>
  <c r="B71" i="54"/>
  <c r="B77" i="54" s="1"/>
  <c r="F94" i="24"/>
  <c r="D106" i="24" s="1"/>
  <c r="C9" i="47" s="1"/>
  <c r="G9" i="47" s="1"/>
  <c r="F96" i="24"/>
  <c r="D109" i="24" s="1"/>
  <c r="K2" i="47" s="1"/>
  <c r="C15" i="47" s="1"/>
  <c r="F95" i="24"/>
  <c r="D108" i="24"/>
  <c r="F79" i="24"/>
  <c r="F8" i="32" s="1"/>
  <c r="F231" i="58" s="1"/>
  <c r="C110" i="24"/>
  <c r="G79" i="24"/>
  <c r="G8" i="32" s="1"/>
  <c r="G231" i="58" s="1"/>
  <c r="V104" i="24" l="1"/>
  <c r="M107" i="24"/>
  <c r="I2" i="47" s="1"/>
  <c r="B54" i="54"/>
  <c r="B53" i="54"/>
  <c r="B55" i="54" s="1"/>
  <c r="B57" i="54" s="1"/>
  <c r="B59" i="54" s="1"/>
  <c r="B81" i="54"/>
  <c r="B83" i="54" s="1"/>
  <c r="B85" i="54" s="1"/>
  <c r="L110" i="24"/>
  <c r="L2" i="47" s="1"/>
  <c r="C14" i="47" s="1"/>
  <c r="F14" i="47" s="1"/>
  <c r="D151" i="24"/>
  <c r="Z116" i="24" s="1"/>
  <c r="AA116" i="24" s="1"/>
  <c r="H12" i="53"/>
  <c r="U1" i="53" s="1"/>
  <c r="U32" i="53" s="1"/>
  <c r="F9" i="47"/>
  <c r="H9" i="47" s="1"/>
  <c r="V103" i="24"/>
  <c r="Z110" i="24" s="1"/>
  <c r="AA110" i="24" s="1"/>
  <c r="D102" i="24"/>
  <c r="B20" i="54"/>
  <c r="B22" i="54" s="1"/>
  <c r="B23" i="54" s="1"/>
  <c r="B26" i="54"/>
  <c r="D103" i="24"/>
  <c r="E103" i="24" s="1"/>
  <c r="E112" i="24" s="1"/>
  <c r="F15" i="47"/>
  <c r="G15" i="47"/>
  <c r="H60" i="53"/>
  <c r="H8" i="53"/>
  <c r="AA1" i="53" s="1"/>
  <c r="AA11" i="53" s="1"/>
  <c r="W109" i="24" l="1"/>
  <c r="Z109" i="24" s="1"/>
  <c r="AA109" i="24" s="1"/>
  <c r="AA122" i="24" s="1"/>
  <c r="AA124" i="24" s="1"/>
  <c r="AA125" i="24" s="1"/>
  <c r="D2" i="47"/>
  <c r="C10" i="47" s="1"/>
  <c r="B63" i="54"/>
  <c r="B65" i="54" s="1"/>
  <c r="G14" i="47"/>
  <c r="U6" i="53"/>
  <c r="U4" i="53"/>
  <c r="U16" i="53"/>
  <c r="U44" i="53"/>
  <c r="U48" i="53"/>
  <c r="U14" i="53"/>
  <c r="U20" i="53"/>
  <c r="U38" i="53"/>
  <c r="U18" i="53"/>
  <c r="U43" i="53"/>
  <c r="U15" i="53"/>
  <c r="U51" i="53"/>
  <c r="U42" i="53"/>
  <c r="U40" i="53"/>
  <c r="U12" i="53"/>
  <c r="U49" i="53"/>
  <c r="U11" i="53"/>
  <c r="U23" i="53"/>
  <c r="U24" i="53"/>
  <c r="U46" i="53"/>
  <c r="U30" i="53"/>
  <c r="U10" i="53"/>
  <c r="U33" i="53"/>
  <c r="U7" i="53"/>
  <c r="U27" i="53"/>
  <c r="U35" i="53"/>
  <c r="U29" i="53"/>
  <c r="U50" i="53"/>
  <c r="U22" i="53"/>
  <c r="U36" i="53"/>
  <c r="U8" i="53"/>
  <c r="U47" i="53"/>
  <c r="U41" i="53"/>
  <c r="U5" i="53"/>
  <c r="U37" i="53"/>
  <c r="U25" i="53"/>
  <c r="U28" i="53"/>
  <c r="U34" i="53"/>
  <c r="U13" i="53"/>
  <c r="U21" i="53"/>
  <c r="U17" i="53"/>
  <c r="U31" i="53"/>
  <c r="U26" i="53"/>
  <c r="U39" i="53"/>
  <c r="U9" i="53"/>
  <c r="U19" i="53"/>
  <c r="U45" i="53"/>
  <c r="B25" i="54"/>
  <c r="B27" i="54"/>
  <c r="B34" i="54"/>
  <c r="H15" i="47"/>
  <c r="N16" i="13"/>
  <c r="S25" i="24"/>
  <c r="L75" i="13"/>
  <c r="T1" i="53"/>
  <c r="T11" i="53" s="1"/>
  <c r="AA23" i="53"/>
  <c r="AA29" i="53"/>
  <c r="AA19" i="53"/>
  <c r="AA27" i="53"/>
  <c r="AA15" i="53"/>
  <c r="AA20" i="53"/>
  <c r="AA6" i="53"/>
  <c r="AA7" i="53"/>
  <c r="AA26" i="53"/>
  <c r="AA14" i="53"/>
  <c r="AA4" i="53"/>
  <c r="AA30" i="53"/>
  <c r="AA21" i="53"/>
  <c r="AA17" i="53"/>
  <c r="AA24" i="53"/>
  <c r="AA31" i="53"/>
  <c r="AA16" i="53"/>
  <c r="AA8" i="53"/>
  <c r="AA28" i="53"/>
  <c r="AA25" i="53"/>
  <c r="AA10" i="53"/>
  <c r="AA9" i="53"/>
  <c r="AA12" i="53"/>
  <c r="AA22" i="53"/>
  <c r="AA5" i="53"/>
  <c r="AA18" i="53"/>
  <c r="AA13" i="53"/>
  <c r="M27" i="24"/>
  <c r="G10" i="47" l="1"/>
  <c r="F10" i="47"/>
  <c r="B32" i="54"/>
  <c r="B38" i="54" s="1"/>
  <c r="B28" i="54"/>
  <c r="B30" i="54" s="1"/>
  <c r="B108" i="52" s="1"/>
  <c r="V11" i="53"/>
  <c r="Y11" i="53" s="1"/>
  <c r="Z11" i="53" s="1"/>
  <c r="AB11" i="53" s="1"/>
  <c r="AC11" i="53" s="1"/>
  <c r="T5" i="53"/>
  <c r="T20" i="53"/>
  <c r="T6" i="53"/>
  <c r="T24" i="53"/>
  <c r="T15" i="53"/>
  <c r="T28" i="53"/>
  <c r="T21" i="53"/>
  <c r="T13" i="53"/>
  <c r="T22" i="53"/>
  <c r="T30" i="53"/>
  <c r="T4" i="53"/>
  <c r="T26" i="53"/>
  <c r="T17" i="53"/>
  <c r="T10" i="53"/>
  <c r="T8" i="53"/>
  <c r="T16" i="53"/>
  <c r="T25" i="53"/>
  <c r="T12" i="53"/>
  <c r="T23" i="53"/>
  <c r="T7" i="53"/>
  <c r="T9" i="53"/>
  <c r="T31" i="53"/>
  <c r="T14" i="53"/>
  <c r="T18" i="53"/>
  <c r="T29" i="53"/>
  <c r="T27" i="53"/>
  <c r="T19" i="53"/>
  <c r="S23" i="24" l="1"/>
  <c r="N14" i="13"/>
  <c r="J16" i="13" s="1"/>
  <c r="J152" i="58" s="1"/>
  <c r="F116" i="52"/>
  <c r="H10" i="47"/>
  <c r="V14" i="53"/>
  <c r="Y14" i="53" s="1"/>
  <c r="Z14" i="53" s="1"/>
  <c r="AB14" i="53" s="1"/>
  <c r="AC14" i="53" s="1"/>
  <c r="V8" i="53"/>
  <c r="Y8" i="53" s="1"/>
  <c r="Z8" i="53" s="1"/>
  <c r="AB8" i="53" s="1"/>
  <c r="AC8" i="53" s="1"/>
  <c r="V21" i="53"/>
  <c r="Y21" i="53" s="1"/>
  <c r="Z21" i="53" s="1"/>
  <c r="AB21" i="53" s="1"/>
  <c r="AC21" i="53" s="1"/>
  <c r="V27" i="53"/>
  <c r="Y27" i="53" s="1"/>
  <c r="Z27" i="53" s="1"/>
  <c r="AB27" i="53" s="1"/>
  <c r="AC27" i="53" s="1"/>
  <c r="V31" i="53"/>
  <c r="Y31" i="53" s="1"/>
  <c r="Z31" i="53" s="1"/>
  <c r="AB31" i="53" s="1"/>
  <c r="AC31" i="53" s="1"/>
  <c r="V12" i="53"/>
  <c r="Y12" i="53" s="1"/>
  <c r="Z12" i="53" s="1"/>
  <c r="AB12" i="53" s="1"/>
  <c r="AC12" i="53" s="1"/>
  <c r="V10" i="53"/>
  <c r="Y10" i="53" s="1"/>
  <c r="Z10" i="53" s="1"/>
  <c r="AB10" i="53" s="1"/>
  <c r="AC10" i="53" s="1"/>
  <c r="V30" i="53"/>
  <c r="Y30" i="53" s="1"/>
  <c r="Z30" i="53" s="1"/>
  <c r="AB30" i="53" s="1"/>
  <c r="AC30" i="53" s="1"/>
  <c r="V28" i="53"/>
  <c r="Y28" i="53" s="1"/>
  <c r="Z28" i="53" s="1"/>
  <c r="AB28" i="53" s="1"/>
  <c r="AC28" i="53" s="1"/>
  <c r="V20" i="53"/>
  <c r="Y20" i="53" s="1"/>
  <c r="Z20" i="53" s="1"/>
  <c r="AB20" i="53" s="1"/>
  <c r="AC20" i="53" s="1"/>
  <c r="V19" i="53"/>
  <c r="Y19" i="53" s="1"/>
  <c r="Z19" i="53" s="1"/>
  <c r="AB19" i="53" s="1"/>
  <c r="AC19" i="53" s="1"/>
  <c r="V23" i="53"/>
  <c r="Y23" i="53" s="1"/>
  <c r="Z23" i="53" s="1"/>
  <c r="AB23" i="53" s="1"/>
  <c r="AC23" i="53" s="1"/>
  <c r="V4" i="53"/>
  <c r="Y4" i="53" s="1"/>
  <c r="Z4" i="53" s="1"/>
  <c r="AB4" i="53" s="1"/>
  <c r="AC4" i="53" s="1"/>
  <c r="V6" i="53"/>
  <c r="Y6" i="53" s="1"/>
  <c r="Z6" i="53" s="1"/>
  <c r="AB6" i="53" s="1"/>
  <c r="AC6" i="53" s="1"/>
  <c r="V29" i="53"/>
  <c r="Y29" i="53" s="1"/>
  <c r="Z29" i="53" s="1"/>
  <c r="AB29" i="53" s="1"/>
  <c r="AC29" i="53" s="1"/>
  <c r="V9" i="53"/>
  <c r="Y9" i="53" s="1"/>
  <c r="Z9" i="53" s="1"/>
  <c r="AB9" i="53" s="1"/>
  <c r="AC9" i="53" s="1"/>
  <c r="V25" i="53"/>
  <c r="Y25" i="53" s="1"/>
  <c r="Z25" i="53" s="1"/>
  <c r="AB25" i="53" s="1"/>
  <c r="AC25" i="53" s="1"/>
  <c r="V17" i="53"/>
  <c r="Y17" i="53" s="1"/>
  <c r="Z17" i="53" s="1"/>
  <c r="AB17" i="53" s="1"/>
  <c r="AC17" i="53" s="1"/>
  <c r="V22" i="53"/>
  <c r="Y22" i="53" s="1"/>
  <c r="Z22" i="53" s="1"/>
  <c r="AB22" i="53" s="1"/>
  <c r="AC22" i="53" s="1"/>
  <c r="V15" i="53"/>
  <c r="Y15" i="53" s="1"/>
  <c r="Z15" i="53" s="1"/>
  <c r="AB15" i="53" s="1"/>
  <c r="AC15" i="53" s="1"/>
  <c r="V5" i="53"/>
  <c r="Y5" i="53" s="1"/>
  <c r="Z5" i="53" s="1"/>
  <c r="AB5" i="53" s="1"/>
  <c r="AC5" i="53" s="1"/>
  <c r="V18" i="53"/>
  <c r="Y18" i="53" s="1"/>
  <c r="Z18" i="53" s="1"/>
  <c r="AB18" i="53" s="1"/>
  <c r="AC18" i="53" s="1"/>
  <c r="V7" i="53"/>
  <c r="Y7" i="53" s="1"/>
  <c r="Z7" i="53" s="1"/>
  <c r="AB7" i="53" s="1"/>
  <c r="AC7" i="53" s="1"/>
  <c r="V16" i="53"/>
  <c r="Y16" i="53" s="1"/>
  <c r="Z16" i="53" s="1"/>
  <c r="AB16" i="53" s="1"/>
  <c r="AC16" i="53" s="1"/>
  <c r="V26" i="53"/>
  <c r="Y26" i="53" s="1"/>
  <c r="Z26" i="53" s="1"/>
  <c r="AB26" i="53" s="1"/>
  <c r="AC26" i="53" s="1"/>
  <c r="V13" i="53"/>
  <c r="Y13" i="53" s="1"/>
  <c r="Z13" i="53" s="1"/>
  <c r="AB13" i="53" s="1"/>
  <c r="AC13" i="53" s="1"/>
  <c r="V24" i="53"/>
  <c r="Y24" i="53" s="1"/>
  <c r="Z24" i="53" s="1"/>
  <c r="AB24" i="53" s="1"/>
  <c r="AC24" i="53" s="1"/>
  <c r="N27" i="24" l="1"/>
  <c r="C105" i="24"/>
  <c r="K75" i="13"/>
  <c r="M75" i="13" s="1"/>
  <c r="K103" i="24"/>
  <c r="M103" i="24" s="1"/>
  <c r="N103" i="24" s="1"/>
  <c r="W78" i="13"/>
  <c r="Z78" i="13" s="1"/>
  <c r="AA78" i="13" s="1"/>
  <c r="J17" i="13"/>
  <c r="F54" i="13" s="1"/>
  <c r="D75" i="13" s="1"/>
  <c r="F61" i="53"/>
  <c r="F67" i="53" s="1"/>
  <c r="D61" i="53"/>
  <c r="D75" i="53" s="1"/>
  <c r="G61" i="53"/>
  <c r="G75" i="53" s="1"/>
  <c r="C61" i="53"/>
  <c r="C67" i="53" s="1"/>
  <c r="C79" i="53" s="1"/>
  <c r="E61" i="53"/>
  <c r="E62" i="53" s="1"/>
  <c r="F62" i="53" l="1"/>
  <c r="F69" i="53" s="1"/>
  <c r="C75" i="13"/>
  <c r="H54" i="13"/>
  <c r="E6" i="32"/>
  <c r="E229" i="58" s="1"/>
  <c r="G54" i="13"/>
  <c r="D67" i="53"/>
  <c r="D62" i="53"/>
  <c r="E67" i="53"/>
  <c r="E69" i="53" s="1"/>
  <c r="E75" i="53"/>
  <c r="F79" i="53"/>
  <c r="F82" i="53" s="1"/>
  <c r="G67" i="53"/>
  <c r="G79" i="53" s="1"/>
  <c r="G82" i="53" s="1"/>
  <c r="F75" i="53"/>
  <c r="G62" i="53"/>
  <c r="C75" i="53"/>
  <c r="H75" i="53" s="1"/>
  <c r="C62" i="53"/>
  <c r="C69" i="53" s="1"/>
  <c r="H67" i="53"/>
  <c r="H79" i="53" s="1"/>
  <c r="E79" i="53" l="1"/>
  <c r="E82" i="53" s="1"/>
  <c r="D69" i="53"/>
  <c r="D79" i="53"/>
  <c r="D82" i="53" s="1"/>
  <c r="G69" i="53"/>
  <c r="H62" i="53"/>
  <c r="H77" i="53"/>
  <c r="C82" i="53"/>
  <c r="H82" i="53" s="1"/>
  <c r="H69" i="53"/>
  <c r="H71" i="53" s="1"/>
  <c r="H73" i="53" s="1"/>
  <c r="L73" i="13" l="1"/>
  <c r="B106" i="52"/>
  <c r="N4" i="13" s="1"/>
  <c r="H85" i="53"/>
  <c r="B111" i="52"/>
  <c r="N6" i="13" s="1"/>
  <c r="P25" i="24"/>
  <c r="N75" i="13"/>
  <c r="F115" i="52" l="1"/>
  <c r="P23" i="24"/>
  <c r="C104" i="24" s="1"/>
  <c r="C112" i="24" s="1"/>
  <c r="D104" i="24"/>
  <c r="D112" i="24" s="1"/>
  <c r="J7" i="13"/>
  <c r="J148" i="58" s="1"/>
  <c r="M26" i="24" l="1"/>
  <c r="K30" i="24" s="1"/>
  <c r="K48" i="24" s="1"/>
  <c r="H55" i="24" s="1"/>
  <c r="H57" i="24" s="1"/>
  <c r="F77" i="24" s="1"/>
  <c r="F6" i="32" s="1"/>
  <c r="F229" i="58" s="1"/>
  <c r="N26" i="24"/>
  <c r="L30" i="24" s="1"/>
  <c r="L48" i="24" s="1"/>
  <c r="I55" i="24" s="1"/>
  <c r="I57" i="24" s="1"/>
  <c r="G77" i="24" s="1"/>
  <c r="G6" i="32" s="1"/>
  <c r="G229" i="58" s="1"/>
  <c r="K102" i="24"/>
  <c r="M102" i="24" s="1"/>
  <c r="N102" i="24" s="1"/>
  <c r="K73" i="13"/>
  <c r="M73" i="13" s="1"/>
  <c r="N73" i="13" s="1"/>
  <c r="W76" i="13"/>
  <c r="J10" i="13"/>
  <c r="F52" i="13" s="1"/>
  <c r="E4" i="32" s="1"/>
  <c r="E227" i="58" s="1"/>
  <c r="D73" i="13" l="1"/>
  <c r="D81" i="13" s="1"/>
  <c r="C2" i="47" s="1"/>
  <c r="C17" i="47" s="1"/>
  <c r="G17" i="47" s="1"/>
  <c r="G75" i="24"/>
  <c r="F75" i="24"/>
  <c r="G52" i="13"/>
  <c r="Z76" i="13"/>
  <c r="AA76" i="13" s="1"/>
  <c r="AA88" i="13" s="1"/>
  <c r="AA90" i="13" s="1"/>
  <c r="AA91" i="13" s="1"/>
  <c r="H52" i="13"/>
  <c r="G4" i="32" s="1"/>
  <c r="C73" i="13"/>
  <c r="C81" i="13" s="1"/>
  <c r="B2" i="47" s="1"/>
  <c r="C16" i="47" s="1"/>
  <c r="C21" i="47" s="1"/>
  <c r="G21" i="47" s="1"/>
  <c r="G2" i="47"/>
  <c r="C13" i="47" s="1"/>
  <c r="F13" i="47" s="1"/>
  <c r="E16" i="32"/>
  <c r="E240" i="58" s="1"/>
  <c r="F17" i="47" l="1"/>
  <c r="F4" i="32"/>
  <c r="F227" i="58" s="1"/>
  <c r="G16" i="47"/>
  <c r="F16" i="47"/>
  <c r="F18" i="47" s="1"/>
  <c r="G16" i="32"/>
  <c r="G240" i="58" s="1"/>
  <c r="G227" i="58"/>
  <c r="F21" i="47"/>
  <c r="H21" i="47" s="1"/>
  <c r="G13" i="47"/>
  <c r="H13" i="47" s="1"/>
  <c r="H17" i="47"/>
  <c r="E17" i="32"/>
  <c r="E241" i="58" s="1"/>
  <c r="F16" i="32" l="1"/>
  <c r="F240" i="58" s="1"/>
  <c r="G17" i="32"/>
  <c r="G241" i="58" s="1"/>
  <c r="H16" i="47"/>
  <c r="H18" i="47" s="1"/>
  <c r="H22" i="47" s="1"/>
  <c r="G28" i="32"/>
  <c r="C248" i="58" s="1"/>
  <c r="F17" i="32"/>
  <c r="F241" i="58" s="1"/>
  <c r="F22" i="47"/>
  <c r="G18" i="47"/>
  <c r="G22" i="47" s="1"/>
  <c r="E28" i="32" l="1"/>
  <c r="C247" i="58" s="1"/>
  <c r="G30" i="32"/>
  <c r="E248" i="58" s="1"/>
  <c r="F19" i="32"/>
  <c r="F243" i="58" s="1"/>
  <c r="I22" i="47"/>
  <c r="I18" i="47"/>
  <c r="I28" i="32" s="1"/>
  <c r="E30" i="32" l="1"/>
  <c r="E247" i="58" s="1"/>
  <c r="G19" i="32"/>
  <c r="G243" i="58" s="1"/>
  <c r="I30" i="32"/>
  <c r="E249" i="58" s="1"/>
  <c r="C249" i="5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4" authorId="0" shapeId="0" xr:uid="{00000000-0006-0000-0400-000001000000}">
      <text>
        <r>
          <rPr>
            <sz val="8"/>
            <color indexed="81"/>
            <rFont val="Tahoma"/>
            <family val="2"/>
          </rPr>
          <t>Chimney ventilation includes effect of associated permanent vent.</t>
        </r>
      </text>
    </comment>
    <comment ref="A15" authorId="0" shapeId="0" xr:uid="{00000000-0006-0000-0400-000002000000}">
      <text>
        <r>
          <rPr>
            <sz val="8"/>
            <color indexed="81"/>
            <rFont val="Tahoma"/>
            <family val="2"/>
          </rPr>
          <t>"If / Else if / End if" statements occur throughout the workbook. Where the "If" or "Else if" condition does not apply, the inputs it covers will not affect the result. The user need only enter data where the condition applies.</t>
        </r>
      </text>
    </comment>
    <comment ref="B23" authorId="0" shapeId="0" xr:uid="{00000000-0006-0000-0400-000003000000}">
      <text>
        <r>
          <rPr>
            <sz val="8"/>
            <color indexed="81"/>
            <rFont val="Tahoma"/>
            <family val="2"/>
          </rPr>
          <t>Air changes per hour is taken to be numerically equal to m3/m2.h.</t>
        </r>
      </text>
    </comment>
    <comment ref="B37" authorId="0" shapeId="0" xr:uid="{00000000-0006-0000-0400-000004000000}">
      <text>
        <r>
          <rPr>
            <sz val="8"/>
            <color indexed="81"/>
            <rFont val="Tahoma"/>
            <family val="2"/>
          </rPr>
          <t>from PCDB website.</t>
        </r>
      </text>
    </comment>
    <comment ref="C39" authorId="0" shapeId="0" xr:uid="{00000000-0006-0000-0400-000005000000}">
      <text>
        <r>
          <rPr>
            <sz val="8"/>
            <color indexed="81"/>
            <rFont val="Tahoma"/>
            <family val="2"/>
          </rPr>
          <t>As given on "Appendix Q" website.</t>
        </r>
      </text>
    </comment>
    <comment ref="C40" authorId="1" shapeId="0" xr:uid="{00000000-0006-0000-0400-000006000000}">
      <text>
        <r>
          <rPr>
            <b/>
            <sz val="9"/>
            <color indexed="81"/>
            <rFont val="Tahoma"/>
            <family val="2"/>
          </rPr>
          <t>skavanagh:</t>
        </r>
        <r>
          <rPr>
            <sz val="9"/>
            <color indexed="81"/>
            <rFont val="Tahoma"/>
            <family val="2"/>
          </rPr>
          <t xml:space="preserve">
Text description of MV system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4" authorId="0" shapeId="0" xr:uid="{00000000-0006-0000-0500-000001000000}">
      <text>
        <r>
          <rPr>
            <sz val="8"/>
            <color indexed="81"/>
            <rFont val="Tahoma"/>
            <family val="2"/>
          </rPr>
          <t>Edit unused orientations if different window types on the same façade.</t>
        </r>
      </text>
    </comment>
    <comment ref="A9" authorId="0" shapeId="0" xr:uid="{00000000-0006-0000-0500-000002000000}">
      <text>
        <r>
          <rPr>
            <sz val="8"/>
            <color indexed="81"/>
            <rFont val="Tahoma"/>
            <family val="2"/>
          </rPr>
          <t>U-value of whoe window including frame. 
Use manufacturer's certified U-values where available, otherwise take from Table 6a.</t>
        </r>
      </text>
    </comment>
    <comment ref="B13" authorId="0" shapeId="0" xr:uid="{00000000-0006-0000-0500-000003000000}">
      <text>
        <r>
          <rPr>
            <sz val="8"/>
            <color indexed="81"/>
            <rFont val="Tahoma"/>
            <family val="2"/>
          </rPr>
          <t>If window U-value is manufacturer's certified value, solar energy transmittance of glazing should be manufacturer's certified value also.</t>
        </r>
      </text>
    </comment>
    <comment ref="N17" authorId="0" shapeId="0" xr:uid="{00000000-0006-0000-0500-000004000000}">
      <text>
        <r>
          <rPr>
            <sz val="8"/>
            <color indexed="81"/>
            <rFont val="Tahoma"/>
            <family val="2"/>
          </rPr>
          <t>Not used in DEAP; used in assessing conformity with guidance in TGD L at end of Fabric sheet.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6" authorId="0" shapeId="0" xr:uid="{00000000-0006-0000-0600-000001000000}">
      <text>
        <r>
          <rPr>
            <sz val="8"/>
            <color indexed="81"/>
            <rFont val="Tahoma"/>
            <family val="2"/>
          </rPr>
          <t>Use manufacturer's certified U-values where available, otherwise take from Table 6a.</t>
        </r>
      </text>
    </comment>
    <comment ref="B6" authorId="0" shapeId="0" xr:uid="{00000000-0006-0000-0600-000002000000}">
      <text>
        <r>
          <rPr>
            <sz val="8"/>
            <color indexed="81"/>
            <rFont val="Tahoma"/>
            <family val="2"/>
          </rPr>
          <t>If there are different types of opaque door, enter total area and average U-value.</t>
        </r>
      </text>
    </comment>
    <comment ref="A7" authorId="0" shapeId="0" xr:uid="{00000000-0006-0000-0600-000003000000}">
      <text>
        <r>
          <rPr>
            <sz val="8"/>
            <color indexed="81"/>
            <rFont val="Tahoma"/>
            <family val="2"/>
          </rPr>
          <t xml:space="preserve">Ground floor or exposed floor.
</t>
        </r>
      </text>
    </comment>
    <comment ref="A22" authorId="0" shapeId="0" xr:uid="{00000000-0006-0000-0600-000004000000}">
      <text>
        <r>
          <rPr>
            <sz val="8"/>
            <color indexed="81"/>
            <rFont val="Tahoma"/>
            <family val="2"/>
          </rPr>
          <t>Default 0.15.
0.08 for new dwellings whose details conform with "Acceptable Construction Details".
See Appendix K.</t>
        </r>
      </text>
    </comment>
    <comment ref="A28" authorId="0" shapeId="0" xr:uid="{00000000-0006-0000-0600-000005000000}">
      <text>
        <r>
          <rPr>
            <sz val="8"/>
            <color indexed="81"/>
            <rFont val="Tahoma"/>
            <family val="2"/>
          </rPr>
          <t>For information only.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Ciaran King</author>
    <author>Coyle Orla</author>
  </authors>
  <commentList>
    <comment ref="A3" authorId="0" shapeId="0" xr:uid="{00000000-0006-0000-0700-000001000000}">
      <text>
        <r>
          <rPr>
            <sz val="8"/>
            <color indexed="81"/>
            <rFont val="Tahoma"/>
            <family val="2"/>
          </rPr>
          <t>Includes distribution loss.</t>
        </r>
      </text>
    </comment>
    <comment ref="F13" authorId="1" shapeId="0" xr:uid="{00000000-0006-0000-0700-000002000000}">
      <text>
        <r>
          <rPr>
            <b/>
            <sz val="9"/>
            <color indexed="81"/>
            <rFont val="Tahoma"/>
            <family val="2"/>
          </rPr>
          <t>SEAI:</t>
        </r>
        <r>
          <rPr>
            <sz val="9"/>
            <color indexed="81"/>
            <rFont val="Tahoma"/>
            <family val="2"/>
          </rPr>
          <t xml:space="preserve">
Flow Restrictor flow rate is fixed at 6 l/min
</t>
        </r>
      </text>
    </comment>
    <comment ref="I13" authorId="1" shapeId="0" xr:uid="{00000000-0006-0000-0700-000003000000}">
      <text>
        <r>
          <rPr>
            <b/>
            <sz val="9"/>
            <color indexed="81"/>
            <rFont val="Tahoma"/>
            <family val="2"/>
          </rPr>
          <t>SEAI:</t>
        </r>
        <r>
          <rPr>
            <sz val="9"/>
            <color indexed="81"/>
            <rFont val="Tahoma"/>
            <family val="2"/>
          </rPr>
          <t xml:space="preserve">
Based on 6 min Shower
</t>
        </r>
      </text>
    </comment>
    <comment ref="B83" authorId="0" shapeId="0" xr:uid="{00000000-0006-0000-0700-000004000000}">
      <text>
        <r>
          <rPr>
            <sz val="8"/>
            <color indexed="81"/>
            <rFont val="Tahoma"/>
            <family val="2"/>
          </rPr>
          <t>Select 'No' if powered by mains electricity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G10" authorId="0" shapeId="0" xr:uid="{00000000-0006-0000-0900-000001000000}">
      <text>
        <r>
          <rPr>
            <sz val="8"/>
            <color indexed="81"/>
            <rFont val="Tahoma"/>
            <family val="2"/>
          </rPr>
          <t>For utilisation factor calculation.</t>
        </r>
      </text>
    </comment>
    <comment ref="H10" authorId="0" shapeId="0" xr:uid="{00000000-0006-0000-0900-000002000000}">
      <text>
        <r>
          <rPr>
            <sz val="8"/>
            <color indexed="81"/>
            <rFont val="Tahoma"/>
            <family val="2"/>
          </rPr>
          <t>For intermittent heating calculation.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9" authorId="0" shapeId="0" xr:uid="{00000000-0006-0000-0A00-000001000000}">
      <text>
        <r>
          <rPr>
            <sz val="8"/>
            <color indexed="81"/>
            <rFont val="Tahoma"/>
            <family val="2"/>
          </rPr>
          <t>For micro-CHP, use Appendix N to determine value.</t>
        </r>
      </text>
    </comment>
    <comment ref="A14" authorId="0" shapeId="0" xr:uid="{00000000-0006-0000-0A00-000002000000}">
      <text>
        <r>
          <rPr>
            <sz val="8"/>
            <color indexed="81"/>
            <rFont val="Tahoma"/>
            <family val="2"/>
          </rPr>
          <t>Includes heat from heating-system pumps/fans.</t>
        </r>
      </text>
    </comment>
    <comment ref="K21" authorId="1" shapeId="0" xr:uid="{00000000-0006-0000-0A00-000003000000}">
      <text>
        <r>
          <rPr>
            <b/>
            <sz val="9"/>
            <color indexed="81"/>
            <rFont val="Tahoma"/>
            <family val="2"/>
          </rPr>
          <t xml:space="preserve">Tooltip: refer to DEAP table 4f </t>
        </r>
      </text>
    </comment>
    <comment ref="A24" authorId="0" shapeId="0" xr:uid="{00000000-0006-0000-0A00-000004000000}">
      <text>
        <r>
          <rPr>
            <sz val="8"/>
            <color indexed="81"/>
            <rFont val="Tahoma"/>
            <family val="2"/>
          </rPr>
          <t>Select 'No' if whole-house mechanical ventilation.</t>
        </r>
        <r>
          <rPr>
            <sz val="8"/>
            <color indexed="81"/>
            <rFont val="Tahoma"/>
            <family val="2"/>
          </rPr>
          <t xml:space="preserve">
</t>
        </r>
      </text>
    </comment>
    <comment ref="A30" authorId="0" shapeId="0" xr:uid="{00000000-0006-0000-0A00-000005000000}">
      <text>
        <r>
          <rPr>
            <sz val="8"/>
            <color indexed="81"/>
            <rFont val="Tahoma"/>
            <family val="2"/>
          </rPr>
          <t>Excludes heat from heating-system pumps/fans.</t>
        </r>
      </text>
    </comment>
    <comment ref="A34" authorId="0" shapeId="0" xr:uid="{00000000-0006-0000-0A00-000006000000}">
      <text>
        <r>
          <rPr>
            <sz val="8"/>
            <color indexed="81"/>
            <rFont val="Tahoma"/>
            <family val="2"/>
          </rPr>
          <t>Reference appropriate value on 'Fabric' sheet.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4" authorId="0" shapeId="0" xr:uid="{00000000-0006-0000-0B00-000001000000}">
      <text>
        <r>
          <rPr>
            <sz val="8"/>
            <color indexed="81"/>
            <rFont val="Tahoma"/>
            <family val="2"/>
          </rPr>
          <t>For micro-CHP enter thermal efficiency</t>
        </r>
      </text>
    </comment>
    <comment ref="B40" authorId="0" shapeId="0" xr:uid="{00000000-0006-0000-0B00-000002000000}">
      <text>
        <r>
          <rPr>
            <sz val="8"/>
            <color indexed="81"/>
            <rFont val="Tahoma"/>
            <family val="2"/>
          </rPr>
          <t>Enter factors for fuel displaced.</t>
        </r>
      </text>
    </comment>
    <comment ref="J40" authorId="0" shapeId="0" xr:uid="{00000000-0006-0000-0B00-000003000000}">
      <text>
        <r>
          <rPr>
            <sz val="8"/>
            <color indexed="81"/>
            <rFont val="Tahoma"/>
            <family val="2"/>
          </rPr>
          <t>Electrical and heat gross efficiencies may be determined from overall efficiency and heat-to-power ratio.User test data to relevant standards</t>
        </r>
      </text>
    </comment>
    <comment ref="B41" authorId="0" shapeId="0" xr:uid="{00000000-0006-0000-0B00-000004000000}">
      <text>
        <r>
          <rPr>
            <sz val="8"/>
            <color indexed="81"/>
            <rFont val="Tahoma"/>
            <family val="2"/>
          </rPr>
          <t>Enter factors for fuel used by the technology.</t>
        </r>
      </text>
    </comment>
    <comment ref="J41" authorId="0" shapeId="0" xr:uid="{00000000-0006-0000-0B00-000005000000}">
      <text>
        <r>
          <rPr>
            <sz val="8"/>
            <color indexed="81"/>
            <rFont val="Tahoma"/>
            <family val="2"/>
          </rPr>
          <t>Electrical and heat gross efficiencies may be determined from overall efficiency and heat-to-power ratio.User test data to relevant standards</t>
        </r>
      </text>
    </comment>
    <comment ref="A61" authorId="1" shapeId="0" xr:uid="{00000000-0006-0000-0B00-000006000000}">
      <text>
        <r>
          <rPr>
            <b/>
            <sz val="9"/>
            <color indexed="81"/>
            <rFont val="Tahoma"/>
            <family val="2"/>
          </rPr>
          <t>Renewable and energy saving technologies 1,2,3</t>
        </r>
      </text>
    </comment>
    <comment ref="W83" authorId="0" shapeId="0" xr:uid="{CA6D2F16-89B8-45E6-B8AB-BB6EE0D09C6C}">
      <text>
        <r>
          <rPr>
            <sz val="8"/>
            <color indexed="81"/>
            <rFont val="Tahoma"/>
            <family val="2"/>
          </rPr>
          <t>Select 'Not applicable' for energy-saving technologies that do not utilize renewable energy.</t>
        </r>
      </text>
    </comment>
    <comment ref="Z83" authorId="0" shapeId="0" xr:uid="{B636E78E-F267-42BB-8B4D-059FCFD7048B}">
      <text>
        <r>
          <rPr>
            <sz val="8"/>
            <color indexed="81"/>
            <rFont val="Tahoma"/>
            <family val="2"/>
          </rPr>
          <t>Leave blank if not applicable.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11" authorId="0" shapeId="0" xr:uid="{00000000-0006-0000-0C00-000001000000}">
      <text>
        <r>
          <rPr>
            <sz val="8"/>
            <color indexed="81"/>
            <rFont val="Tahoma"/>
            <family val="2"/>
          </rPr>
          <t>Select 'No' for flat rate charging.</t>
        </r>
      </text>
    </comment>
    <comment ref="A13" authorId="0" shapeId="0" xr:uid="{00000000-0006-0000-0C00-000002000000}">
      <text>
        <r>
          <rPr>
            <sz val="8"/>
            <color indexed="81"/>
            <rFont val="Tahoma"/>
            <family val="2"/>
          </rPr>
          <t>Emission and primary energy factors and fuel cost below relate to this delivered heat.</t>
        </r>
      </text>
    </comment>
    <comment ref="A17" authorId="0" shapeId="0" xr:uid="{00000000-0006-0000-0C00-000003000000}">
      <text>
        <r>
          <rPr>
            <sz val="8"/>
            <color indexed="81"/>
            <rFont val="Tahoma"/>
            <family val="2"/>
          </rPr>
          <t>The remainding fraction of heat will come from boilers.</t>
        </r>
      </text>
    </comment>
    <comment ref="A19" authorId="0" shapeId="0" xr:uid="{00000000-0006-0000-0C00-000004000000}">
      <text>
        <r>
          <rPr>
            <sz val="8"/>
            <color indexed="81"/>
            <rFont val="Tahoma"/>
            <family val="2"/>
          </rPr>
          <t>This "Boilers" section covers all heat-only generators, including heat pumps and solar heating systems.</t>
        </r>
      </text>
    </comment>
    <comment ref="J21" authorId="0" shapeId="0" xr:uid="{00000000-0006-0000-0C00-000005000000}">
      <text>
        <r>
          <rPr>
            <sz val="8"/>
            <color indexed="81"/>
            <rFont val="Tahoma"/>
            <family val="2"/>
          </rPr>
          <t xml:space="preserve">Annual proportion of heat output from plant met by each heat source.
</t>
        </r>
      </text>
    </comment>
    <comment ref="A22" authorId="0" shapeId="0" xr:uid="{00000000-0006-0000-0C00-000006000000}">
      <text>
        <r>
          <rPr>
            <sz val="8"/>
            <color indexed="81"/>
            <rFont val="Tahoma"/>
            <family val="2"/>
          </rPr>
          <t>Leave rows blank if inapplicable.</t>
        </r>
      </text>
    </comment>
    <comment ref="H22" authorId="0" shapeId="0" xr:uid="{00000000-0006-0000-0C00-000007000000}">
      <text>
        <r>
          <rPr>
            <sz val="8"/>
            <color indexed="81"/>
            <rFont val="Tahoma"/>
            <family val="2"/>
          </rPr>
          <t>Default efficiency for boilers = 75%. Use manufacturer's declared efficiency in preference if known.</t>
        </r>
      </text>
    </comment>
    <comment ref="J22" authorId="0" shapeId="0" xr:uid="{00000000-0006-0000-0C00-000008000000}">
      <text>
        <r>
          <rPr>
            <sz val="8"/>
            <color indexed="81"/>
            <rFont val="Tahoma"/>
            <family val="2"/>
          </rPr>
          <t>If operational records for system covering at least a year are available, take proportions from these, otherwise take proportions from boilers and heat pump from system design.</t>
        </r>
      </text>
    </comment>
    <comment ref="J23" authorId="0" shapeId="0" xr:uid="{00000000-0006-0000-0C00-000009000000}">
      <text>
        <r>
          <rPr>
            <sz val="8"/>
            <color indexed="81"/>
            <rFont val="Tahoma"/>
            <family val="2"/>
          </rPr>
          <t>Ensure that total adds up to 100%.</t>
        </r>
      </text>
    </comment>
    <comment ref="H26" authorId="0" shapeId="0" xr:uid="{00000000-0006-0000-0C00-00000A000000}">
      <text>
        <r>
          <rPr>
            <sz val="8"/>
            <color indexed="81"/>
            <rFont val="Tahoma"/>
            <family val="2"/>
          </rPr>
          <t xml:space="preserve">For Heat Pump or Exhaust Air Heat Pump this efficiency is overwritten by efficiency in HP tab.
</t>
        </r>
      </text>
    </comment>
    <comment ref="H27" authorId="0" shapeId="0" xr:uid="{04C90D20-4DFF-4568-93D1-B14B0EAC62C5}">
      <text>
        <r>
          <rPr>
            <sz val="8"/>
            <color indexed="81"/>
            <rFont val="Tahoma"/>
            <family val="2"/>
          </rPr>
          <t>For Heat Pump or Exhaust Air Heat Pump this efficiency is overwritten by efficiency in HP tab.</t>
        </r>
      </text>
    </comment>
    <comment ref="J28" authorId="0" shapeId="0" xr:uid="{00000000-0006-0000-0C00-00000B000000}">
      <text>
        <r>
          <rPr>
            <sz val="8"/>
            <color indexed="81"/>
            <rFont val="Tahoma"/>
            <family val="2"/>
          </rPr>
          <t>If operational records covering at least a year are not available, calculate solar proportion using the "Appendix Q" procedure.</t>
        </r>
      </text>
    </comment>
    <comment ref="A33" authorId="0" shapeId="0" xr:uid="{00000000-0006-0000-0C00-00000C000000}">
      <text>
        <r>
          <rPr>
            <sz val="8"/>
            <color indexed="81"/>
            <rFont val="Tahoma"/>
            <family val="2"/>
          </rPr>
          <t>See Appendix 2 for definitions.</t>
        </r>
      </text>
    </comment>
    <comment ref="B35" authorId="0" shapeId="0" xr:uid="{00000000-0006-0000-0C00-00000D000000}">
      <text>
        <r>
          <rPr>
            <sz val="8"/>
            <color indexed="81"/>
            <rFont val="Tahoma"/>
            <family val="2"/>
          </rPr>
          <t>Electrical and heat efficiencies may be determined from overall efficiency and heat-to-power ratio.</t>
        </r>
      </text>
    </comment>
    <comment ref="B42" authorId="0" shapeId="0" xr:uid="{00000000-0006-0000-0C00-00000E000000}">
      <text>
        <r>
          <rPr>
            <sz val="8"/>
            <color indexed="81"/>
            <rFont val="Tahoma"/>
            <family val="2"/>
          </rPr>
          <t>Note in some cases these factors can be negative.</t>
        </r>
      </text>
    </comment>
    <comment ref="A52" authorId="0" shapeId="0" xr:uid="{00000000-0006-0000-0C00-00000F000000}">
      <text>
        <r>
          <rPr>
            <sz val="8"/>
            <color indexed="81"/>
            <rFont val="Tahoma"/>
            <family val="2"/>
          </rPr>
          <t>Note: factors apply to heat delivered to dwelling (as opposed to fuel supplied to group heating plant).</t>
        </r>
      </text>
    </comment>
    <comment ref="B63" authorId="0" shapeId="0" xr:uid="{00000000-0006-0000-0C00-000010000000}">
      <text>
        <r>
          <rPr>
            <sz val="8"/>
            <color indexed="81"/>
            <rFont val="Tahoma"/>
            <family val="2"/>
          </rPr>
          <t>Enter factors for fuel displaced.</t>
        </r>
      </text>
    </comment>
    <comment ref="B64" authorId="0" shapeId="0" xr:uid="{00000000-0006-0000-0C00-000011000000}">
      <text>
        <r>
          <rPr>
            <sz val="8"/>
            <color indexed="81"/>
            <rFont val="Tahoma"/>
            <family val="2"/>
          </rPr>
          <t>Enter factors for fuel used by the technology.</t>
        </r>
      </text>
    </comment>
    <comment ref="E78" authorId="0" shapeId="0" xr:uid="{00000000-0006-0000-0C00-000012000000}">
      <text>
        <r>
          <rPr>
            <sz val="8"/>
            <color indexed="81"/>
            <rFont val="Tahoma"/>
            <family val="2"/>
          </rPr>
          <t>With group heating, no supplementary electric heating should be specified on 'Wh' sheet.</t>
        </r>
      </text>
    </comment>
    <comment ref="W117" authorId="0" shapeId="0" xr:uid="{8C1EABCB-A312-43CA-A7AA-C9EF805A7464}">
      <text>
        <r>
          <rPr>
            <sz val="8"/>
            <color indexed="81"/>
            <rFont val="Tahoma"/>
            <family val="2"/>
          </rPr>
          <t>Select 'Not applicable' for energy-saving technologies that do not utilize renewable energy.</t>
        </r>
      </text>
    </comment>
    <comment ref="Z117" authorId="0" shapeId="0" xr:uid="{FD6054CC-AC88-4FD1-BE94-52C5886505EC}">
      <text>
        <r>
          <rPr>
            <sz val="8"/>
            <color indexed="81"/>
            <rFont val="Tahoma"/>
            <family val="2"/>
          </rPr>
          <t>Leave blank if not applicable.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skavanagh</author>
    <author>Ciaran King</author>
  </authors>
  <commentList>
    <comment ref="A13" authorId="0" shapeId="0" xr:uid="{00000000-0006-0000-0D00-000001000000}">
      <text>
        <r>
          <rPr>
            <b/>
            <sz val="9"/>
            <color indexed="81"/>
            <rFont val="Tahoma"/>
            <family val="2"/>
          </rPr>
          <t>Renewable and energy saving technologies 1,2,3</t>
        </r>
      </text>
    </comment>
    <comment ref="A19" authorId="1" shapeId="0" xr:uid="{00000000-0006-0000-0D00-000002000000}">
      <text>
        <r>
          <rPr>
            <sz val="8"/>
            <color indexed="81"/>
            <rFont val="Tahoma"/>
            <family val="2"/>
          </rPr>
          <t>A BER certificate can be provided only by a registered BER assessor.</t>
        </r>
      </text>
    </comment>
  </commentList>
</comments>
</file>

<file path=xl/sharedStrings.xml><?xml version="1.0" encoding="utf-8"?>
<sst xmlns="http://schemas.openxmlformats.org/spreadsheetml/2006/main" count="2767" uniqueCount="1504">
  <si>
    <t>Dwelling Energy Assessment Procedure (DEAP)</t>
  </si>
  <si>
    <t>Irish official method for rating the energy performance of dwellings</t>
  </si>
  <si>
    <t xml:space="preserve"> </t>
  </si>
  <si>
    <t>Overview of workbook</t>
  </si>
  <si>
    <t>Cell shading</t>
  </si>
  <si>
    <t>(based on Excel's standard colour palette)</t>
  </si>
  <si>
    <t>Background colours used in data cells on the worksheets signify the following.</t>
  </si>
  <si>
    <t>Colour</t>
  </si>
  <si>
    <t>Cell category</t>
  </si>
  <si>
    <t>Yellow</t>
  </si>
  <si>
    <t>User inputs</t>
  </si>
  <si>
    <t>Blue</t>
  </si>
  <si>
    <t>Main calculated results</t>
  </si>
  <si>
    <t>Green</t>
  </si>
  <si>
    <t>Constants</t>
  </si>
  <si>
    <t>None</t>
  </si>
  <si>
    <t>Intermediate calculated data</t>
  </si>
  <si>
    <t>Use of this workbook</t>
  </si>
  <si>
    <t>A calculation using this workbook should work sequentially through the individual spreadsheets as follows, leading ultimately to the display of results in the ‘Results’ worksheet:</t>
  </si>
  <si>
    <t>Worksheet</t>
  </si>
  <si>
    <t>Main user entry actions</t>
  </si>
  <si>
    <t>Visible calculated outcome</t>
  </si>
  <si>
    <t>Proj</t>
  </si>
  <si>
    <t>Enter administrative details of the project (optional)</t>
  </si>
  <si>
    <t>As entered</t>
  </si>
  <si>
    <t>Dims</t>
  </si>
  <si>
    <t>Enter principal dimensions</t>
  </si>
  <si>
    <t>Total floor area, dwelling volume</t>
  </si>
  <si>
    <t>Vent</t>
  </si>
  <si>
    <t>Enter structural and other ventilation characteristics</t>
  </si>
  <si>
    <t>Ventilation heat loss (components and total), electricity for fans, heat gain from fans</t>
  </si>
  <si>
    <t>Win</t>
  </si>
  <si>
    <t>Enter window and glazed door dimensions, orientations, U values and shading characteristics</t>
  </si>
  <si>
    <t>Glazed area, heat loss, effective area for solar gain, glazing ratio for daylight gain, summer heat gain</t>
  </si>
  <si>
    <t>Fab</t>
  </si>
  <si>
    <t>Enter building element dimensions, U values and thermal bridging characteristics</t>
  </si>
  <si>
    <t>Fabric heat loss, total heat loss coefficient and heat loss parameter for dwelling.  Compliance check with Building Regulation L2 (b)</t>
  </si>
  <si>
    <t>Wh</t>
  </si>
  <si>
    <t>Enter water heating system characteristics, including electrical immersion and solar</t>
  </si>
  <si>
    <t>Hot water heat demand, solar hot water pump consumption, primary circuit loss, internal heat gains from hot water</t>
  </si>
  <si>
    <t>Light</t>
  </si>
  <si>
    <t>Enter proportion of fixed lighting outlets that are low energy</t>
  </si>
  <si>
    <t>Annual energy use for lighting, internal seasonal heat gains from lighting, heat gains from all sources</t>
  </si>
  <si>
    <t>HtUse</t>
  </si>
  <si>
    <t>Enter living area fraction and thermal mass category</t>
  </si>
  <si>
    <t>Mean internal temperature, annual ‘useful’ space heat demand from monthly calculations allowing for intermittency, solar and internal heat gain utilisation</t>
  </si>
  <si>
    <t>Sh</t>
  </si>
  <si>
    <t>Enter heating system control category, responsiveness category, heat emission characteristics, pumps and fans</t>
  </si>
  <si>
    <t>Annual space heat demand allowing for control, responsiveness, heat emission and equipment heat gain characteristics</t>
  </si>
  <si>
    <t>Er1</t>
  </si>
  <si>
    <t>Individual heating systems:  Enter space and water heating appliance efficiency and fuel characteristics</t>
  </si>
  <si>
    <r>
      <t>Annual fuel consumption for space and water heating, CO</t>
    </r>
    <r>
      <rPr>
        <vertAlign val="subscript"/>
        <sz val="10"/>
        <rFont val="Myriad Pro"/>
        <family val="2"/>
      </rPr>
      <t>2</t>
    </r>
    <r>
      <rPr>
        <sz val="10"/>
        <rFont val="Myriad Pro"/>
        <family val="2"/>
      </rPr>
      <t xml:space="preserve"> emissions, costs</t>
    </r>
  </si>
  <si>
    <t>Er2</t>
  </si>
  <si>
    <t>Community/ group heating schemes:  Enter space and water heating appliance efficiency and fuel characteristics</t>
  </si>
  <si>
    <t>Result</t>
  </si>
  <si>
    <r>
      <t>Annual delivered energy, primary energy, CO</t>
    </r>
    <r>
      <rPr>
        <vertAlign val="subscript"/>
        <sz val="10"/>
        <rFont val="Myriad Pro"/>
        <family val="2"/>
      </rPr>
      <t>2</t>
    </r>
    <r>
      <rPr>
        <sz val="10"/>
        <rFont val="Myriad Pro"/>
        <family val="2"/>
      </rPr>
      <t xml:space="preserve"> emissions, costs, comparison with reference dwelling, compliance check with Building Regulation L2 (a)</t>
    </r>
  </si>
  <si>
    <t>Project</t>
  </si>
  <si>
    <t>Inputs to this sheet are optional.</t>
  </si>
  <si>
    <t>Project details</t>
  </si>
  <si>
    <t>Dwelling type</t>
  </si>
  <si>
    <t>Address</t>
  </si>
  <si>
    <t>Eircode</t>
  </si>
  <si>
    <t>MPRN Number</t>
  </si>
  <si>
    <t>Date of assessment</t>
  </si>
  <si>
    <t>Type of Rating</t>
  </si>
  <si>
    <t>Purpose of Rating</t>
  </si>
  <si>
    <t xml:space="preserve"> - </t>
  </si>
  <si>
    <t>Is there an Extension?</t>
  </si>
  <si>
    <t>Year of Construction</t>
  </si>
  <si>
    <t>Building Regulations</t>
  </si>
  <si>
    <t>Developer/owner details</t>
  </si>
  <si>
    <t>Name</t>
  </si>
  <si>
    <t>Phone</t>
  </si>
  <si>
    <t>Email</t>
  </si>
  <si>
    <t>Assessor details</t>
  </si>
  <si>
    <t>Title</t>
  </si>
  <si>
    <t>Company</t>
  </si>
  <si>
    <t>Comments</t>
  </si>
  <si>
    <t>Tables</t>
  </si>
  <si>
    <t>Dwelling types</t>
  </si>
  <si>
    <t xml:space="preserve">Ground-floor apartment </t>
  </si>
  <si>
    <t>Mid-floor apartment</t>
  </si>
  <si>
    <t>Top-floor apartment</t>
  </si>
  <si>
    <t>End of Terrace</t>
  </si>
  <si>
    <t>Mid- terrace</t>
  </si>
  <si>
    <t>Semi-detached house</t>
  </si>
  <si>
    <t>Detached house</t>
  </si>
  <si>
    <t>Maisonette</t>
  </si>
  <si>
    <t>Basement apartment</t>
  </si>
  <si>
    <t>Purpose of rating</t>
  </si>
  <si>
    <t>New dwelling for owner occupation</t>
  </si>
  <si>
    <t>Sale</t>
  </si>
  <si>
    <t>Private letting</t>
  </si>
  <si>
    <t>Social housing letting</t>
  </si>
  <si>
    <t>Grant Support</t>
  </si>
  <si>
    <t>Major Renovation</t>
  </si>
  <si>
    <t>Other</t>
  </si>
  <si>
    <t>Extension</t>
  </si>
  <si>
    <t>Yes</t>
  </si>
  <si>
    <t>No</t>
  </si>
  <si>
    <t>Building Regulations Compliance Checking</t>
  </si>
  <si>
    <t>N/A</t>
  </si>
  <si>
    <t>Type of rating</t>
  </si>
  <si>
    <t>-</t>
  </si>
  <si>
    <t>New-final</t>
  </si>
  <si>
    <t>New-provisional</t>
  </si>
  <si>
    <t>Existing</t>
  </si>
  <si>
    <t>Overall dwelling dimensions</t>
  </si>
  <si>
    <t>Area</t>
  </si>
  <si>
    <t>Avg room</t>
  </si>
  <si>
    <t>Volume</t>
  </si>
  <si>
    <r>
      <t>[m</t>
    </r>
    <r>
      <rPr>
        <vertAlign val="superscript"/>
        <sz val="10"/>
        <rFont val="Arial"/>
        <family val="2"/>
      </rPr>
      <t>2</t>
    </r>
    <r>
      <rPr>
        <sz val="10"/>
        <rFont val="Arial"/>
        <family val="2"/>
      </rPr>
      <t>]</t>
    </r>
  </si>
  <si>
    <t>height [m]</t>
  </si>
  <si>
    <r>
      <t>[m</t>
    </r>
    <r>
      <rPr>
        <vertAlign val="superscript"/>
        <sz val="10"/>
        <rFont val="Arial"/>
        <family val="2"/>
      </rPr>
      <t>3</t>
    </r>
    <r>
      <rPr>
        <sz val="10"/>
        <rFont val="Arial"/>
        <family val="2"/>
      </rPr>
      <t>]</t>
    </r>
  </si>
  <si>
    <t>Ground or lowest floor</t>
  </si>
  <si>
    <t>First floor</t>
  </si>
  <si>
    <t>Second floor</t>
  </si>
  <si>
    <t>Third and other floors</t>
  </si>
  <si>
    <r>
      <t>Total floor area [m</t>
    </r>
    <r>
      <rPr>
        <vertAlign val="superscript"/>
        <sz val="10"/>
        <rFont val="Arial"/>
        <family val="2"/>
      </rPr>
      <t>2</t>
    </r>
    <r>
      <rPr>
        <sz val="10"/>
        <rFont val="Arial"/>
        <family val="2"/>
      </rPr>
      <t>]</t>
    </r>
  </si>
  <si>
    <r>
      <t>Dwelling volume [m</t>
    </r>
    <r>
      <rPr>
        <vertAlign val="superscript"/>
        <sz val="10"/>
        <rFont val="Arial"/>
        <family val="2"/>
      </rPr>
      <t>3</t>
    </r>
    <r>
      <rPr>
        <sz val="10"/>
        <rFont val="Arial"/>
        <family val="2"/>
      </rPr>
      <t>]</t>
    </r>
  </si>
  <si>
    <t>Fraction</t>
  </si>
  <si>
    <t>Living area</t>
  </si>
  <si>
    <t>Ventilation heat loss</t>
  </si>
  <si>
    <t>Openings</t>
  </si>
  <si>
    <r>
      <t>[m</t>
    </r>
    <r>
      <rPr>
        <vertAlign val="superscript"/>
        <sz val="10"/>
        <rFont val="Arial"/>
        <family val="2"/>
      </rPr>
      <t>3</t>
    </r>
    <r>
      <rPr>
        <sz val="10"/>
        <rFont val="Arial"/>
        <family val="2"/>
      </rPr>
      <t>/h]</t>
    </r>
  </si>
  <si>
    <t>[ac/h]</t>
  </si>
  <si>
    <t>Number of chimneys</t>
  </si>
  <si>
    <t>Number of open flues</t>
  </si>
  <si>
    <t>Number of intermittent fans and passive vents</t>
  </si>
  <si>
    <t>Number of flueless combustion room heaters</t>
  </si>
  <si>
    <t>Sub-total</t>
  </si>
  <si>
    <t>Is there a draught lobby on main entrance?</t>
  </si>
  <si>
    <t>Infiltration due to openings</t>
  </si>
  <si>
    <t>Structural air-tightness</t>
  </si>
  <si>
    <t>Number of storeys in the dwelling</t>
  </si>
  <si>
    <t>Has an air permeability test been carried out?</t>
  </si>
  <si>
    <t>If no (ie. If test has not been done):</t>
  </si>
  <si>
    <t>Structure type</t>
  </si>
  <si>
    <t>Masonry</t>
  </si>
  <si>
    <t>Is there a suspended wooden ground floor?</t>
  </si>
  <si>
    <t>Percentage of windows and doors draughtstripped [%]</t>
  </si>
  <si>
    <t>Infiltration due to structure - calculated</t>
  </si>
  <si>
    <t>Else if yes (ie. if test has been done):</t>
  </si>
  <si>
    <t>Infiltration due to structure - measured [ac/h]</t>
  </si>
  <si>
    <t>End if (ie. end of inputs covered by above "If / Else if" conditions).</t>
  </si>
  <si>
    <t>Permeability test carried out and meets guidelines in TGD L?</t>
  </si>
  <si>
    <t>Infiltration due to structure [ac/h]</t>
  </si>
  <si>
    <t>Infiltration rate - 1 [ac/h]</t>
  </si>
  <si>
    <t>Number of sides sheltered</t>
  </si>
  <si>
    <t>Enter 2 for new dwellings where location is not shown</t>
  </si>
  <si>
    <t>Infiltration rate - final [ac/h]</t>
  </si>
  <si>
    <t>Ventilation method</t>
  </si>
  <si>
    <t>Exhaust Air Heat Pump</t>
  </si>
  <si>
    <t>ID</t>
  </si>
  <si>
    <t>m3/h</t>
  </si>
  <si>
    <t>Effective air change rate [ac/h]</t>
  </si>
  <si>
    <t>Heat Pump Flow Rate Ratio</t>
  </si>
  <si>
    <r>
      <t>R</t>
    </r>
    <r>
      <rPr>
        <sz val="8"/>
        <rFont val="Arial"/>
        <family val="2"/>
      </rPr>
      <t>hp</t>
    </r>
  </si>
  <si>
    <t>Ventilation heat loss [W/K]</t>
  </si>
  <si>
    <t>Hrs of Operation</t>
  </si>
  <si>
    <t>hrs</t>
  </si>
  <si>
    <t>Mechanical Ventilation Throughput Factor</t>
  </si>
  <si>
    <r>
      <t>F</t>
    </r>
    <r>
      <rPr>
        <sz val="8"/>
        <rFont val="Arial"/>
        <family val="2"/>
      </rPr>
      <t>mv</t>
    </r>
  </si>
  <si>
    <t>If mechanical ventilation, other than positive input ventilation from loft, has been selected above:</t>
  </si>
  <si>
    <t>If yes</t>
  </si>
  <si>
    <t>Manufacturer and model</t>
  </si>
  <si>
    <t>How many wetrooms (including kitchen)? Is the ventilation ducting flexible/rigid/both?</t>
  </si>
  <si>
    <t>Default</t>
  </si>
  <si>
    <t>Value to be used</t>
  </si>
  <si>
    <t>Specific fan power [W/(l/s)]</t>
  </si>
  <si>
    <t>If balanced whole-house mechanical ventilation with heat recovery:</t>
  </si>
  <si>
    <t>Heat exchanger efficiency [%]</t>
  </si>
  <si>
    <t>End if</t>
  </si>
  <si>
    <t>Efficiency Adjustment Factor</t>
  </si>
  <si>
    <t>Is ducting insulated where outside of insulated dwelling envelope</t>
  </si>
  <si>
    <t>Electricity for ventilation fans [kWh/y]</t>
  </si>
  <si>
    <t>Heat gains from ventilation fans [W]</t>
  </si>
  <si>
    <t>Ventilation methods</t>
  </si>
  <si>
    <t>Effective air change rate</t>
  </si>
  <si>
    <t>Default SPF</t>
  </si>
  <si>
    <t>[W/(L/s)]</t>
  </si>
  <si>
    <t>Natural ventilation</t>
  </si>
  <si>
    <t>Positive input ventilation from loft</t>
  </si>
  <si>
    <t>Positive input ventilation from outside</t>
  </si>
  <si>
    <t>Whole-house extract ventilation</t>
  </si>
  <si>
    <t>Balanced whole-house mechanical ventilation, no heat recovery</t>
  </si>
  <si>
    <t>Balanced whole-house mechanical ventilation with heat recovery</t>
  </si>
  <si>
    <t>YesNo</t>
  </si>
  <si>
    <t>Structural infiltration</t>
  </si>
  <si>
    <t>Timber or steel frame</t>
  </si>
  <si>
    <t>Suspended timber ground floor</t>
  </si>
  <si>
    <t>Yes - sealed</t>
  </si>
  <si>
    <t>Yes - unsealed</t>
  </si>
  <si>
    <t>TGD L 2011 pressure test result pass</t>
  </si>
  <si>
    <t>TGD L 2011 pressure test result fail</t>
  </si>
  <si>
    <t>TGD L 2019 pressure test result pass</t>
  </si>
  <si>
    <t>TGD L 2019 pressure test result fail</t>
  </si>
  <si>
    <t>TGD L 2011 or 2019 pressure test carried out: fails</t>
  </si>
  <si>
    <t>TGD L 2011 or 2019 pressure test carried out: passes</t>
  </si>
  <si>
    <t>Windows and other glazed elements</t>
  </si>
  <si>
    <t>Enter details of windows or rooflights on each façade or building element (up to 9). See notes below Table 1b.</t>
  </si>
  <si>
    <t>Totals</t>
  </si>
  <si>
    <t>Orientation</t>
  </si>
  <si>
    <t>East/West</t>
  </si>
  <si>
    <t>South</t>
  </si>
  <si>
    <t>North</t>
  </si>
  <si>
    <t>SE/SW</t>
  </si>
  <si>
    <t>Horizontal</t>
  </si>
  <si>
    <t>Orientation ID</t>
  </si>
  <si>
    <r>
      <t>Area [m</t>
    </r>
    <r>
      <rPr>
        <vertAlign val="superscript"/>
        <sz val="10"/>
        <rFont val="Arial"/>
        <family val="2"/>
      </rPr>
      <t>2</t>
    </r>
    <r>
      <rPr>
        <sz val="10"/>
        <rFont val="Arial"/>
        <family val="2"/>
      </rPr>
      <t>]</t>
    </r>
  </si>
  <si>
    <t>Roof window</t>
  </si>
  <si>
    <t>Heat loss</t>
  </si>
  <si>
    <r>
      <t>U-value [W/m</t>
    </r>
    <r>
      <rPr>
        <vertAlign val="superscript"/>
        <sz val="10"/>
        <rFont val="Arial"/>
        <family val="2"/>
      </rPr>
      <t>2</t>
    </r>
    <r>
      <rPr>
        <sz val="10"/>
        <rFont val="Arial"/>
        <family val="2"/>
      </rPr>
      <t xml:space="preserve"> K]</t>
    </r>
  </si>
  <si>
    <t>Is U-value a manufacturer's certified value?</t>
  </si>
  <si>
    <t>If yes:</t>
  </si>
  <si>
    <t>Solar energy transmittance</t>
  </si>
  <si>
    <t>U-value correction for roof window and/or metal frame if applicable (Table 6a, notes 1 and 2).</t>
  </si>
  <si>
    <r>
      <t>Adjusted U-value [W/m</t>
    </r>
    <r>
      <rPr>
        <vertAlign val="superscript"/>
        <sz val="10"/>
        <rFont val="Arial"/>
        <family val="2"/>
      </rPr>
      <t>2</t>
    </r>
    <r>
      <rPr>
        <sz val="10"/>
        <rFont val="Arial"/>
        <family val="2"/>
      </rPr>
      <t xml:space="preserve"> K]</t>
    </r>
  </si>
  <si>
    <r>
      <t>Adjusted U-value, with curtains [W/m</t>
    </r>
    <r>
      <rPr>
        <vertAlign val="superscript"/>
        <sz val="10"/>
        <rFont val="Arial"/>
        <family val="2"/>
      </rPr>
      <t>2</t>
    </r>
    <r>
      <rPr>
        <sz val="10"/>
        <rFont val="Arial"/>
        <family val="2"/>
      </rPr>
      <t xml:space="preserve"> K]</t>
    </r>
  </si>
  <si>
    <t>Heat loss [W/K]</t>
  </si>
  <si>
    <t>North facing roof window?</t>
  </si>
  <si>
    <t>Passive solar gain</t>
  </si>
  <si>
    <t>Overshading ID (Table 6d)</t>
  </si>
  <si>
    <t>Winter solar access factor</t>
  </si>
  <si>
    <t>Light access factor</t>
  </si>
  <si>
    <t xml:space="preserve">Frame factor (Table 6c) [-] </t>
  </si>
  <si>
    <t>Window type ID (Table 6b)</t>
  </si>
  <si>
    <t>Solar transmittance</t>
  </si>
  <si>
    <t>Light transmittance</t>
  </si>
  <si>
    <t>Incidence angle factor [-]</t>
  </si>
  <si>
    <t>Effective collecting area of glazed elements [m2]</t>
  </si>
  <si>
    <r>
      <t>Total window area [m</t>
    </r>
    <r>
      <rPr>
        <vertAlign val="superscript"/>
        <sz val="10"/>
        <rFont val="Arial"/>
        <family val="2"/>
      </rPr>
      <t>2</t>
    </r>
    <r>
      <rPr>
        <sz val="10"/>
        <rFont val="Arial"/>
        <family val="2"/>
      </rPr>
      <t>]</t>
    </r>
  </si>
  <si>
    <r>
      <t>Effective collecting area [m</t>
    </r>
    <r>
      <rPr>
        <vertAlign val="superscript"/>
        <sz val="10"/>
        <rFont val="Arial"/>
        <family val="2"/>
      </rPr>
      <t>2</t>
    </r>
    <r>
      <rPr>
        <sz val="10"/>
        <rFont val="Arial"/>
        <family val="2"/>
      </rPr>
      <t>]</t>
    </r>
  </si>
  <si>
    <t>NE/NW</t>
  </si>
  <si>
    <t>North roof windows</t>
  </si>
  <si>
    <t>Daylighting</t>
  </si>
  <si>
    <t>Glazing ratio [-]</t>
  </si>
  <si>
    <r>
      <t xml:space="preserve">Solar gain in summer </t>
    </r>
    <r>
      <rPr>
        <sz val="10"/>
        <rFont val="Arial"/>
        <family val="2"/>
      </rPr>
      <t>(optional - for assessment of internal temperature in summer. See 'Summer' worksheet)</t>
    </r>
  </si>
  <si>
    <t>Orientation as entered above</t>
  </si>
  <si>
    <r>
      <t>Solar flux for summer period [W/m</t>
    </r>
    <r>
      <rPr>
        <vertAlign val="superscript"/>
        <sz val="10"/>
        <rFont val="Arial"/>
        <family val="2"/>
      </rPr>
      <t>2</t>
    </r>
    <r>
      <rPr>
        <sz val="10"/>
        <rFont val="Arial"/>
        <family val="2"/>
      </rPr>
      <t>]</t>
    </r>
  </si>
  <si>
    <t>Summer solar access factor (unshaded)</t>
  </si>
  <si>
    <t>Shading factor for blinds/curtains (Table P4)</t>
  </si>
  <si>
    <t>Shading factor for overhangs (Tables P5-P6)</t>
  </si>
  <si>
    <t>Shaded summer solar access factor</t>
  </si>
  <si>
    <r>
      <t>Solar gain for summer period [W/m</t>
    </r>
    <r>
      <rPr>
        <vertAlign val="superscript"/>
        <sz val="10"/>
        <rFont val="Arial"/>
        <family val="2"/>
      </rPr>
      <t>2</t>
    </r>
    <r>
      <rPr>
        <sz val="10"/>
        <rFont val="Arial"/>
        <family val="2"/>
      </rPr>
      <t>]</t>
    </r>
  </si>
  <si>
    <t>Table 6b: Transmittance factors for glazing</t>
  </si>
  <si>
    <t>Type of glazing</t>
  </si>
  <si>
    <t>Total solar energy transmittance (for solar gains calculation)</t>
  </si>
  <si>
    <t>Light transmittance (for daylighting calculation)</t>
  </si>
  <si>
    <t>Single glazed</t>
  </si>
  <si>
    <t>Double glazed (air or argon filled)</t>
  </si>
  <si>
    <t>Double glazed (Low-E, hard coat)</t>
  </si>
  <si>
    <t>Double glazed (Low-E, soft coat)</t>
  </si>
  <si>
    <t>Triple glazed (air or argon filled)</t>
  </si>
  <si>
    <t>Triple glazed (Low-E, hard coat)</t>
  </si>
  <si>
    <t>Triple glazed (Low-E, soft coat)</t>
  </si>
  <si>
    <t>Table 6d: Solar and light access factors</t>
  </si>
  <si>
    <t>Overshading</t>
  </si>
  <si>
    <t>% of sky blocked</t>
  </si>
  <si>
    <t>Summer solar access factor</t>
  </si>
  <si>
    <t>Heavy</t>
  </si>
  <si>
    <t>&gt;80%</t>
  </si>
  <si>
    <t>More than average</t>
  </si>
  <si>
    <t>&gt;60 - 80%</t>
  </si>
  <si>
    <t>Average or unknown</t>
  </si>
  <si>
    <t>20 - 60%</t>
  </si>
  <si>
    <t>Very little</t>
  </si>
  <si>
    <t>&lt;20%</t>
  </si>
  <si>
    <t>Lists</t>
  </si>
  <si>
    <t>Yes/No</t>
  </si>
  <si>
    <t>Fabric heat loss</t>
  </si>
  <si>
    <t>Enter exposed element details only in rows of the correct 'type' below.</t>
  </si>
  <si>
    <t>Exposed element type</t>
  </si>
  <si>
    <t>U-value</t>
  </si>
  <si>
    <t>AU</t>
  </si>
  <si>
    <t>Comment (optional)</t>
  </si>
  <si>
    <t>Element type</t>
  </si>
  <si>
    <r>
      <t>[W/m</t>
    </r>
    <r>
      <rPr>
        <vertAlign val="superscript"/>
        <sz val="10"/>
        <rFont val="Arial"/>
        <family val="2"/>
      </rPr>
      <t>2</t>
    </r>
    <r>
      <rPr>
        <sz val="10"/>
        <rFont val="Arial"/>
        <family val="2"/>
      </rPr>
      <t xml:space="preserve"> K]</t>
    </r>
  </si>
  <si>
    <t>[W/K]</t>
  </si>
  <si>
    <t>(for assessing TGD L conformity)</t>
  </si>
  <si>
    <t>Uval</t>
  </si>
  <si>
    <t>Windows/rooflights</t>
  </si>
  <si>
    <t>Doors</t>
  </si>
  <si>
    <t>Floor</t>
  </si>
  <si>
    <t>No underfloor heating</t>
  </si>
  <si>
    <t>Floor (type 2)</t>
  </si>
  <si>
    <t>Floor (type 3)</t>
  </si>
  <si>
    <t>Walls</t>
  </si>
  <si>
    <t>Wall relevant for TGD L fabric compliance check</t>
  </si>
  <si>
    <t>Walls (type 2)</t>
  </si>
  <si>
    <t>Walls (type 3)</t>
  </si>
  <si>
    <t>Walls (type 4)</t>
  </si>
  <si>
    <t>Walls (type 5)</t>
  </si>
  <si>
    <t>Roof</t>
  </si>
  <si>
    <t>Pitched roof - Insulation at ceiling</t>
  </si>
  <si>
    <t>Roof (type 2)</t>
  </si>
  <si>
    <t>Roof (type 3)</t>
  </si>
  <si>
    <t>Roof (type 4)</t>
  </si>
  <si>
    <t>Roof (type 5)</t>
  </si>
  <si>
    <r>
      <t>Total area of elements [m</t>
    </r>
    <r>
      <rPr>
        <vertAlign val="superscript"/>
        <sz val="10"/>
        <rFont val="Arial"/>
        <family val="2"/>
      </rPr>
      <t>2</t>
    </r>
    <r>
      <rPr>
        <sz val="10"/>
        <rFont val="Arial"/>
        <family val="2"/>
      </rPr>
      <t>]</t>
    </r>
  </si>
  <si>
    <t>Heat loss via plane elements [W/K]</t>
  </si>
  <si>
    <r>
      <t>Factor for thermal bridging at element junctions, 'y' [W/m</t>
    </r>
    <r>
      <rPr>
        <vertAlign val="superscript"/>
        <sz val="10"/>
        <rFont val="Arial"/>
        <family val="2"/>
      </rPr>
      <t>2</t>
    </r>
    <r>
      <rPr>
        <sz val="10"/>
        <rFont val="Arial"/>
        <family val="2"/>
      </rPr>
      <t xml:space="preserve"> K]</t>
    </r>
  </si>
  <si>
    <t>Thermal bridging [W/K]</t>
  </si>
  <si>
    <t>Fabric heat loss [W/K]</t>
  </si>
  <si>
    <t>Total heat loss</t>
  </si>
  <si>
    <t>Heat loss coefficient [W/K]</t>
  </si>
  <si>
    <t>Chart data</t>
  </si>
  <si>
    <r>
      <t>Heat loss parameter, HLP [W/K m</t>
    </r>
    <r>
      <rPr>
        <vertAlign val="superscript"/>
        <sz val="10"/>
        <rFont val="Arial"/>
        <family val="2"/>
      </rPr>
      <t>2</t>
    </r>
    <r>
      <rPr>
        <sz val="10"/>
        <rFont val="Arial"/>
        <family val="2"/>
      </rPr>
      <t>]</t>
    </r>
  </si>
  <si>
    <t>Fabric</t>
  </si>
  <si>
    <t>Ventilation</t>
  </si>
  <si>
    <t>Floors</t>
  </si>
  <si>
    <t>Roofs</t>
  </si>
  <si>
    <t>Junctions</t>
  </si>
  <si>
    <t xml:space="preserve">Conformity with guidance within TGD L </t>
  </si>
  <si>
    <t>For information only; not part of DEAP. Relevant for new-build.</t>
  </si>
  <si>
    <r>
      <t>Maximum average U-values of element types</t>
    </r>
    <r>
      <rPr>
        <sz val="10"/>
        <rFont val="Arial"/>
        <family val="2"/>
      </rPr>
      <t xml:space="preserve"> (TGD L, Section 1.3.2.2 and Table 1, Column 2). *</t>
    </r>
  </si>
  <si>
    <t>Note that U-values will generally need to be better than these limits in order for dwelling to comply with MPEPC and MPCPC requirements.</t>
  </si>
  <si>
    <t>TGD L</t>
  </si>
  <si>
    <t>Average</t>
  </si>
  <si>
    <t>Category</t>
  </si>
  <si>
    <t>Type</t>
  </si>
  <si>
    <t>limit</t>
  </si>
  <si>
    <t>of type</t>
  </si>
  <si>
    <t>[m2]</t>
  </si>
  <si>
    <t>Pitched roof - Insulation on slope</t>
  </si>
  <si>
    <t>Flat roof</t>
  </si>
  <si>
    <t>Underfloor heating</t>
  </si>
  <si>
    <t>Total opening area (windows/rooflights/doors) as % of total floor area</t>
  </si>
  <si>
    <r>
      <t>Average U-value of openings [W/m</t>
    </r>
    <r>
      <rPr>
        <vertAlign val="superscript"/>
        <sz val="10"/>
        <rFont val="Arial"/>
        <family val="2"/>
      </rPr>
      <t>2</t>
    </r>
    <r>
      <rPr>
        <sz val="10"/>
        <rFont val="Arial"/>
        <family val="2"/>
      </rPr>
      <t xml:space="preserve"> K]</t>
    </r>
  </si>
  <si>
    <r>
      <t>Maximum elemental U-values</t>
    </r>
    <r>
      <rPr>
        <sz val="10"/>
        <rFont val="Arial"/>
        <family val="2"/>
      </rPr>
      <t xml:space="preserve"> (TGD L, Section 1.3.2.2 and Table 1, Column 3)</t>
    </r>
  </si>
  <si>
    <t>Max value</t>
  </si>
  <si>
    <t>in dwelling</t>
  </si>
  <si>
    <t>External doors, windows and rooflights</t>
  </si>
  <si>
    <t>*caveat fot TGD L 1.3.2.3 not detailed in this workbook.</t>
  </si>
  <si>
    <t>For info/checking</t>
  </si>
  <si>
    <t>Facade area, including windows/doors</t>
  </si>
  <si>
    <t>Gross roof area, including rooflights</t>
  </si>
  <si>
    <t>Total exposed floor area</t>
  </si>
  <si>
    <t>Sum</t>
  </si>
  <si>
    <t>Subsidiary calcs for TGD L compliance</t>
  </si>
  <si>
    <t>Gross wall+roof area</t>
  </si>
  <si>
    <t>Excess of Reference opening area over gross wall area</t>
  </si>
  <si>
    <t>Walls relevant for TGD L checking</t>
  </si>
  <si>
    <t>Wall not relevant for TGD L fabric compliance check</t>
  </si>
  <si>
    <t>Windows compliance checking</t>
  </si>
  <si>
    <t>List of walls</t>
  </si>
  <si>
    <t>effective area</t>
  </si>
  <si>
    <t>relevant U value for wall</t>
  </si>
  <si>
    <t>relevant AU for wall</t>
  </si>
  <si>
    <t>Water heating</t>
  </si>
  <si>
    <t>Reference Building</t>
  </si>
  <si>
    <t>Standard number of occupants, N</t>
  </si>
  <si>
    <t>No of (Mixer + Electric) Showers within Dwelling</t>
  </si>
  <si>
    <t>Is a Bath present within Dwelling</t>
  </si>
  <si>
    <t>No of Showers Taken</t>
  </si>
  <si>
    <t>Is flow rate known</t>
  </si>
  <si>
    <t xml:space="preserve">Type of System </t>
  </si>
  <si>
    <t>Flow Restrictor</t>
  </si>
  <si>
    <t>Known Flow Rate l/min</t>
  </si>
  <si>
    <t>Flow Rate l/min</t>
  </si>
  <si>
    <t>Warm Water Use
V warm, I (litre)</t>
  </si>
  <si>
    <t>Warm Water Use
Vd warm, I (litre/day)</t>
  </si>
  <si>
    <t>fhot, shower</t>
  </si>
  <si>
    <t>Vhot,i</t>
  </si>
  <si>
    <t>No of Electric Showers</t>
  </si>
  <si>
    <t>Shower 1</t>
  </si>
  <si>
    <t>Vented hot water system + pump</t>
  </si>
  <si>
    <t>Flow Rate</t>
  </si>
  <si>
    <t>l/min</t>
  </si>
  <si>
    <t>Shower 2</t>
  </si>
  <si>
    <t>Vd</t>
  </si>
  <si>
    <t>Shower 3</t>
  </si>
  <si>
    <t>Vented hot water system</t>
  </si>
  <si>
    <t>Hot Water Use</t>
  </si>
  <si>
    <t>litres</t>
  </si>
  <si>
    <t>Shower 4</t>
  </si>
  <si>
    <t>Unvented hot water system</t>
  </si>
  <si>
    <t>Shower 5</t>
  </si>
  <si>
    <t>Hot Water usage in litres per day for Mixed Showers</t>
  </si>
  <si>
    <t>PCDB characteristics</t>
  </si>
  <si>
    <t>Associated with</t>
  </si>
  <si>
    <t>Waste Water Heat Recovery Present</t>
  </si>
  <si>
    <t>Efficiency, n</t>
  </si>
  <si>
    <t>Utilisation factor, UF</t>
  </si>
  <si>
    <t>Energy Content of Warm Water Q (kWh/yr)</t>
  </si>
  <si>
    <t>Energy Savings (kWh/yr)</t>
  </si>
  <si>
    <t>WWHR1</t>
  </si>
  <si>
    <t>WWHR2</t>
  </si>
  <si>
    <t>WWHR3</t>
  </si>
  <si>
    <t>WWHR4</t>
  </si>
  <si>
    <t>WWHR5</t>
  </si>
  <si>
    <t>Total WWHR Saving</t>
  </si>
  <si>
    <t>kWh/yr</t>
  </si>
  <si>
    <t>Electricity from Electrical Showers</t>
  </si>
  <si>
    <t>Nes</t>
  </si>
  <si>
    <t>Electrical Consumption from Electric Shower(s)</t>
  </si>
  <si>
    <t>kWh</t>
  </si>
  <si>
    <t>No of Baths Taken</t>
  </si>
  <si>
    <t>V warm, bath</t>
  </si>
  <si>
    <t>fhot, bath</t>
  </si>
  <si>
    <t>Hot Water usage in litres per day for Bath</t>
  </si>
  <si>
    <t>Hot Water usage in litres per day for Other Purposes</t>
  </si>
  <si>
    <t>Daily hot water usage, Vd, average, excluding Electric Showers</t>
  </si>
  <si>
    <t xml:space="preserve">Hot water energy requirement at taps </t>
  </si>
  <si>
    <t>Water heating system</t>
  </si>
  <si>
    <t>Are there distribution losses?</t>
  </si>
  <si>
    <t>Select no for instantaneous heating at point of use.</t>
  </si>
  <si>
    <t>Distribution loss [kWh/y]</t>
  </si>
  <si>
    <t>Select yes if community heating</t>
  </si>
  <si>
    <t>Are there storage losses?</t>
  </si>
  <si>
    <t>Water storage volume [litres]</t>
  </si>
  <si>
    <t>Include any solar storage within the same cylinder.</t>
  </si>
  <si>
    <t>For community heating, if no tank, enter 110 litre cylinder with 50 mm factory applied insulation.</t>
  </si>
  <si>
    <t>Is manufacturer's declared loss factor available?</t>
  </si>
  <si>
    <t>Manufacturer and model name</t>
  </si>
  <si>
    <t>Manufacturer's declared loss factor [kWh/day]</t>
  </si>
  <si>
    <t>Storage loss - 1 [kWh/y]</t>
  </si>
  <si>
    <t>Else if no</t>
  </si>
  <si>
    <t>Insulation type on hot water store</t>
  </si>
  <si>
    <t>Factory insulated</t>
  </si>
  <si>
    <t>Insulation thickness [mm]</t>
  </si>
  <si>
    <t>Hot water storage loss factor [kWh/l d]</t>
  </si>
  <si>
    <t>Volume factor</t>
  </si>
  <si>
    <t>Storage loss - 2 [kWh/y]</t>
  </si>
  <si>
    <t>Storage loss - 3 [kWh/y]</t>
  </si>
  <si>
    <t>Temperature factor unadjusted (Table 2)</t>
  </si>
  <si>
    <t>Temperature factor multiplier (from Table 2 notes)</t>
  </si>
  <si>
    <t>Storage loss - 4 [kWh/y]</t>
  </si>
  <si>
    <t>Is there a solar water heating system?</t>
  </si>
  <si>
    <t>Complete 'SWH' worksheet at this point.</t>
  </si>
  <si>
    <t>Solar DHW input, Qs [kWh/y]</t>
  </si>
  <si>
    <t>Dedicated solar storage contained within cylinder</t>
  </si>
  <si>
    <t>Is solar water heating pump PV powered?</t>
  </si>
  <si>
    <t>Electricity consumption of SWH pump [kWh/y]</t>
  </si>
  <si>
    <t>Storage loss - final (adjusted for dedicated solar storage) [kWh/y]</t>
  </si>
  <si>
    <t>Primary circuit loss [kWh/y] (Table 3)</t>
  </si>
  <si>
    <t>Primary circuit loss adjusted for occupancy [kWh/y]</t>
  </si>
  <si>
    <t xml:space="preserve">Additional loss for combi boiler [kWh/y] (Table 3a) </t>
  </si>
  <si>
    <t>Leave blank if not a combi boiler</t>
  </si>
  <si>
    <t>Electricity consumption of electric keep-hot facility of combi boiler [kWh/y] (Table 4f)</t>
  </si>
  <si>
    <t>Leave blank if not applicable</t>
  </si>
  <si>
    <t>Is hot water storage indoors or in group heating scheme?</t>
  </si>
  <si>
    <t>Is supplementary electric immersion heating used in summer?</t>
  </si>
  <si>
    <t>fraction</t>
  </si>
  <si>
    <t>Solar input to main system [kWh/y]</t>
  </si>
  <si>
    <t>Solar input to supplementary system [kWh/y]</t>
  </si>
  <si>
    <t>WWHRS input to main system [kWh/y]</t>
  </si>
  <si>
    <t>WWHRS input to supplementary system [kWh/y]</t>
  </si>
  <si>
    <t>Output from main water heater [kWh/y]</t>
  </si>
  <si>
    <t>Output from supplementary heater [kWh/y]</t>
  </si>
  <si>
    <t>Breakdown of output from water heater</t>
  </si>
  <si>
    <t>Heat gains from water heating system [kWh/y]</t>
  </si>
  <si>
    <t>HW use</t>
  </si>
  <si>
    <t>[W]</t>
  </si>
  <si>
    <t>Distribution</t>
  </si>
  <si>
    <t>Storage</t>
  </si>
  <si>
    <t>Solar fraction [%]</t>
  </si>
  <si>
    <t>Primary c</t>
  </si>
  <si>
    <t>Combi b</t>
  </si>
  <si>
    <t>Solar input</t>
  </si>
  <si>
    <t>Cylinder insulation</t>
  </si>
  <si>
    <t>Loose jacket</t>
  </si>
  <si>
    <t>Insulation thickness</t>
  </si>
  <si>
    <t>SAP Table J4 Shower Flow Rates and Rated Power</t>
  </si>
  <si>
    <t>Default flow rate
(l/min)</t>
  </si>
  <si>
    <t>Default Power
(kW)</t>
  </si>
  <si>
    <t>Instantaneous electric shower (vented or unvented)</t>
  </si>
  <si>
    <t xml:space="preserve">SAP Table 1a: No of days in month </t>
  </si>
  <si>
    <t>Jan</t>
  </si>
  <si>
    <t>Feb</t>
  </si>
  <si>
    <t>Mar</t>
  </si>
  <si>
    <t>Apr</t>
  </si>
  <si>
    <t>May</t>
  </si>
  <si>
    <t>Jun</t>
  </si>
  <si>
    <t>Jul</t>
  </si>
  <si>
    <t>Aug</t>
  </si>
  <si>
    <t>Sep</t>
  </si>
  <si>
    <t>Oct</t>
  </si>
  <si>
    <t>Nov</t>
  </si>
  <si>
    <t>Dec</t>
  </si>
  <si>
    <t>Annual</t>
  </si>
  <si>
    <t>Sept</t>
  </si>
  <si>
    <t>SAP Table J3 Temperature Rise of the hot water drawn off</t>
  </si>
  <si>
    <t>annual</t>
  </si>
  <si>
    <t>Lighting</t>
  </si>
  <si>
    <t>Calculation is annual rather than monthly</t>
  </si>
  <si>
    <t>Annual Base Lighting Requirement</t>
  </si>
  <si>
    <r>
      <rPr>
        <sz val="14"/>
        <rFont val="Calibri"/>
        <family val="2"/>
      </rPr>
      <t>Ʌ</t>
    </r>
    <r>
      <rPr>
        <sz val="10"/>
        <rFont val="Calibri"/>
        <family val="2"/>
      </rPr>
      <t>B</t>
    </r>
  </si>
  <si>
    <t>klmh/year</t>
  </si>
  <si>
    <t>Fixed Lighting Requirement</t>
  </si>
  <si>
    <r>
      <rPr>
        <sz val="14"/>
        <rFont val="Calibri"/>
        <family val="2"/>
      </rPr>
      <t>Ʌ</t>
    </r>
    <r>
      <rPr>
        <sz val="10"/>
        <rFont val="Calibri"/>
        <family val="2"/>
      </rPr>
      <t>req</t>
    </r>
  </si>
  <si>
    <t>Reference fixed lighting capacity upper limit</t>
  </si>
  <si>
    <t>CLref</t>
  </si>
  <si>
    <t>lm</t>
  </si>
  <si>
    <t>Lighting Design</t>
  </si>
  <si>
    <t>Is Lighting Design Known</t>
  </si>
  <si>
    <t xml:space="preserve">If Yes, </t>
  </si>
  <si>
    <t xml:space="preserve">Lamp </t>
  </si>
  <si>
    <t>Lamp Power (Watts)</t>
  </si>
  <si>
    <t>Is lamp efficacy known</t>
  </si>
  <si>
    <t>Type of Lamp</t>
  </si>
  <si>
    <t>Lumen /Watt</t>
  </si>
  <si>
    <t>Lumen</t>
  </si>
  <si>
    <t>Halogen LV</t>
  </si>
  <si>
    <t>LEDs/ CFL</t>
  </si>
  <si>
    <t>Halogen lamps</t>
  </si>
  <si>
    <t>Incandescent</t>
  </si>
  <si>
    <t>CLfixed</t>
  </si>
  <si>
    <t xml:space="preserve">If No, </t>
  </si>
  <si>
    <t>No of Lamps</t>
  </si>
  <si>
    <t>Average Efficacy</t>
  </si>
  <si>
    <t>Clfixed</t>
  </si>
  <si>
    <t>Fixed lighting provision</t>
  </si>
  <si>
    <r>
      <rPr>
        <sz val="14"/>
        <rFont val="Calibri"/>
        <family val="2"/>
      </rPr>
      <t>Ʌ</t>
    </r>
    <r>
      <rPr>
        <sz val="10"/>
        <rFont val="Calibri"/>
        <family val="2"/>
      </rPr>
      <t>prov</t>
    </r>
  </si>
  <si>
    <t>Top Up Lighting requirement</t>
  </si>
  <si>
    <r>
      <rPr>
        <sz val="14"/>
        <rFont val="Calibri"/>
        <family val="2"/>
      </rPr>
      <t>Ʌ</t>
    </r>
    <r>
      <rPr>
        <sz val="10"/>
        <rFont val="Calibri"/>
        <family val="2"/>
      </rPr>
      <t>topup</t>
    </r>
  </si>
  <si>
    <r>
      <t>ɛ</t>
    </r>
    <r>
      <rPr>
        <sz val="10"/>
        <rFont val="Calibri"/>
        <family val="2"/>
      </rPr>
      <t>fixed</t>
    </r>
  </si>
  <si>
    <t>Energy Required for fixed lighting</t>
  </si>
  <si>
    <t>EL,fixed</t>
  </si>
  <si>
    <t>kWh/year</t>
  </si>
  <si>
    <t>Energy Required for top up lighting</t>
  </si>
  <si>
    <t>EL,topup</t>
  </si>
  <si>
    <t>Energy Required for portable lighting</t>
  </si>
  <si>
    <t>EL,portable</t>
  </si>
  <si>
    <t>Annual energy used for lighting, EL [kWh/y]</t>
  </si>
  <si>
    <t>EL</t>
  </si>
  <si>
    <t>Basic energy consumption for lighting [kWh/y]</t>
  </si>
  <si>
    <t>EL,B</t>
  </si>
  <si>
    <t xml:space="preserve">Glazing ratio </t>
  </si>
  <si>
    <t>Correction factor C2</t>
  </si>
  <si>
    <t>Internal gains from lighting during heating season [kWh/hs]</t>
  </si>
  <si>
    <t>Internal gains</t>
  </si>
  <si>
    <t>Metabolic</t>
  </si>
  <si>
    <t>Appliances and cooking</t>
  </si>
  <si>
    <t>Mechanical ventilation system</t>
  </si>
  <si>
    <t>Heat loss to the cold water network [W]</t>
  </si>
  <si>
    <t>Net internal gains [W]</t>
  </si>
  <si>
    <t xml:space="preserve">SAP 2016 Table L1: Default luminous efficacy for lamp types </t>
  </si>
  <si>
    <t>Lamp Type</t>
  </si>
  <si>
    <t>Lumens/Watt</t>
  </si>
  <si>
    <t>Linear flourescent</t>
  </si>
  <si>
    <t>Space heat use</t>
  </si>
  <si>
    <t>Required internal temperature</t>
  </si>
  <si>
    <t>Required temperature of living area during heating hours [C]</t>
  </si>
  <si>
    <t>Required temperature of rest of dwelling during heating hours [C]</t>
  </si>
  <si>
    <t>Living area fraction [-]</t>
  </si>
  <si>
    <t>Required mean internal temperature during heating hours [C]</t>
  </si>
  <si>
    <t>Internal heat capacity</t>
  </si>
  <si>
    <t>Thermal mass category of dwelling</t>
  </si>
  <si>
    <t>Medium</t>
  </si>
  <si>
    <t>UF</t>
  </si>
  <si>
    <t>IH</t>
  </si>
  <si>
    <r>
      <t>Internal heat capacity of dwelling [MJ/K per m</t>
    </r>
    <r>
      <rPr>
        <vertAlign val="superscript"/>
        <sz val="10"/>
        <rFont val="Arial"/>
        <family val="2"/>
      </rPr>
      <t>2</t>
    </r>
    <r>
      <rPr>
        <sz val="10"/>
        <rFont val="Arial"/>
        <family val="2"/>
      </rPr>
      <t xml:space="preserve"> floor area]</t>
    </r>
  </si>
  <si>
    <t>[MJ/K]</t>
  </si>
  <si>
    <t>For calculation of utilisation factor for gains</t>
  </si>
  <si>
    <t>Time constant of dwelling [h]</t>
  </si>
  <si>
    <r>
      <t>Parameter 'a</t>
    </r>
    <r>
      <rPr>
        <vertAlign val="subscript"/>
        <sz val="10"/>
        <rFont val="MS Sans Serif"/>
        <family val="2"/>
      </rPr>
      <t>0</t>
    </r>
    <r>
      <rPr>
        <sz val="10"/>
        <rFont val="MS Sans Serif"/>
        <family val="2"/>
      </rPr>
      <t>'</t>
    </r>
  </si>
  <si>
    <t>Reference time constant of building [h]</t>
  </si>
  <si>
    <t>Parameter 'a'</t>
  </si>
  <si>
    <t>For calculation of adjusted temperature due to intermittent heating</t>
  </si>
  <si>
    <t>Mean external temperature for heating season [C]</t>
  </si>
  <si>
    <t>Length of one unheated period [h]</t>
  </si>
  <si>
    <t>Number of unheated periods per week</t>
  </si>
  <si>
    <t>Unheated</t>
  </si>
  <si>
    <t>Heated</t>
  </si>
  <si>
    <t>Hours per week</t>
  </si>
  <si>
    <t>Heat loss from dwelling during one unheated period [MJ]</t>
  </si>
  <si>
    <t>Mean internal temp for one unheated period to give this heat loss [C]</t>
  </si>
  <si>
    <t>Mean internal temperature for week (and for heating season) [C]</t>
  </si>
  <si>
    <t>Intermittency temperature factor [-]</t>
  </si>
  <si>
    <t>Solar gains</t>
  </si>
  <si>
    <t>Avg for htg</t>
  </si>
  <si>
    <t>Month</t>
  </si>
  <si>
    <t>season</t>
  </si>
  <si>
    <t>E/W</t>
  </si>
  <si>
    <t>Horiz</t>
  </si>
  <si>
    <t>Total solar gains [kWh/d]</t>
  </si>
  <si>
    <t>Total gains [W]</t>
  </si>
  <si>
    <t>Heat use</t>
  </si>
  <si>
    <t>Mean external temperature [C]</t>
  </si>
  <si>
    <t>Adjusted internal temperature [C]</t>
  </si>
  <si>
    <t>Heat loss [W]</t>
  </si>
  <si>
    <t>Gain/Loss ratio [-]</t>
  </si>
  <si>
    <t>Utilisation factor [-]</t>
  </si>
  <si>
    <t>Useful gains [W]</t>
  </si>
  <si>
    <t>Heat use [W]</t>
  </si>
  <si>
    <t>Days per month</t>
  </si>
  <si>
    <t>Heat use [kWh]</t>
  </si>
  <si>
    <t>Heat use [kWh/y]</t>
  </si>
  <si>
    <t>Heating season Oct-May</t>
  </si>
  <si>
    <t>Full year</t>
  </si>
  <si>
    <t>Data for chart</t>
  </si>
  <si>
    <t>total</t>
  </si>
  <si>
    <t>Useful internal gains [W]</t>
  </si>
  <si>
    <t>Useful solar gains [W]</t>
  </si>
  <si>
    <t>Climate data</t>
  </si>
  <si>
    <t>Table 1a: Mean external temperature [C]</t>
  </si>
  <si>
    <t>Oct-May</t>
  </si>
  <si>
    <t>Year</t>
  </si>
  <si>
    <t>Te</t>
  </si>
  <si>
    <t>Table 1b: Monthly means of daily global radiation on surfaces [kWh/m2 day]</t>
  </si>
  <si>
    <t>Number of days in heating season</t>
  </si>
  <si>
    <t>Table: Internal heat capacity</t>
  </si>
  <si>
    <t>AmAf</t>
  </si>
  <si>
    <t>Heat capacity per unit floor area [MJ/m2 K]</t>
  </si>
  <si>
    <t>[-]</t>
  </si>
  <si>
    <t>Low</t>
  </si>
  <si>
    <t>Medium-low</t>
  </si>
  <si>
    <t>Medium-high</t>
  </si>
  <si>
    <t>High</t>
  </si>
  <si>
    <t>Space heating system</t>
  </si>
  <si>
    <t>Control and responsiveness</t>
  </si>
  <si>
    <t>Temperature adjustment (Table 4e), where appropriate [C]</t>
  </si>
  <si>
    <t>Adjusted living area temperature [C]</t>
  </si>
  <si>
    <t>Heating system control category (Table 4e)</t>
  </si>
  <si>
    <t>Enter category from 1 to 3</t>
  </si>
  <si>
    <t>Temperature in rest of dwelling during heating hours [C]</t>
  </si>
  <si>
    <t>Mean internal temperature during heating hours [C]</t>
  </si>
  <si>
    <t>Heating system responsiveness category (Table 4a or 4d)</t>
  </si>
  <si>
    <t>Enter category from 1 to 5</t>
  </si>
  <si>
    <t>Responsiveness factor [-]</t>
  </si>
  <si>
    <t>Background temperature [C]</t>
  </si>
  <si>
    <t>Mean internal temperature [C]</t>
  </si>
  <si>
    <t>Additional heat emission due to non-ideal control and responsiveness [kWh/y]</t>
  </si>
  <si>
    <t>Gross heat emission to heated space [kWh/y]</t>
  </si>
  <si>
    <t>Pumps/fans</t>
  </si>
  <si>
    <t>Note: for group/community heating scheme, no pumps, fans or warm air system should be specified.</t>
  </si>
  <si>
    <t>Enter</t>
  </si>
  <si>
    <t xml:space="preserve">If present, </t>
  </si>
  <si>
    <t>Total Electricity</t>
  </si>
  <si>
    <t>If present,</t>
  </si>
  <si>
    <t>Heat gain</t>
  </si>
  <si>
    <t>Equipment</t>
  </si>
  <si>
    <t>number</t>
  </si>
  <si>
    <t>is there a room</t>
  </si>
  <si>
    <t>consumption</t>
  </si>
  <si>
    <t>inside</t>
  </si>
  <si>
    <t>Electricity</t>
  </si>
  <si>
    <t>present</t>
  </si>
  <si>
    <t>thermostat?</t>
  </si>
  <si>
    <t>[kWh/y]</t>
  </si>
  <si>
    <t>dwelling?</t>
  </si>
  <si>
    <t>Central heating pump (supplying hot water to radiators or underfloor system)</t>
  </si>
  <si>
    <t>Oil boiler - pump (supplying oil to boiler and flue fan)</t>
  </si>
  <si>
    <t>Gas boiler - flue fan (if fan assisted flue)</t>
  </si>
  <si>
    <t>Is there a warm air heating system or fan coil radiators present?</t>
  </si>
  <si>
    <t>Gains from fans and pumps associated with space heating system [kWh/y]</t>
  </si>
  <si>
    <t>Average utilisation factor, Oct-May</t>
  </si>
  <si>
    <t>Useful heat gain</t>
  </si>
  <si>
    <t>Net heat emission to heated space [kWh/y]</t>
  </si>
  <si>
    <t>Emission efficiency</t>
  </si>
  <si>
    <t>Is there underfloor heating in ground or exposed floor?</t>
  </si>
  <si>
    <r>
      <t>If yes, U-value of this floor [W/m</t>
    </r>
    <r>
      <rPr>
        <vertAlign val="superscript"/>
        <sz val="10"/>
        <rFont val="Arial"/>
        <family val="2"/>
      </rPr>
      <t>2</t>
    </r>
    <r>
      <rPr>
        <sz val="10"/>
        <rFont val="Arial"/>
        <family val="2"/>
      </rPr>
      <t xml:space="preserve"> K]</t>
    </r>
  </si>
  <si>
    <t>Proportion of heating system output from this floor</t>
  </si>
  <si>
    <t>Additional heat loss [kWh/y]</t>
  </si>
  <si>
    <t>Annual space heating requirement [kWh/y]</t>
  </si>
  <si>
    <r>
      <t>Type</t>
    </r>
    <r>
      <rPr>
        <sz val="10"/>
        <rFont val="Arial"/>
        <family val="2"/>
      </rPr>
      <t xml:space="preserve"> of main heating system</t>
    </r>
  </si>
  <si>
    <t>Individual system</t>
  </si>
  <si>
    <t>If individual system, go to 'ER1' sheet; if group system, go to 'ER2' sheet.</t>
  </si>
  <si>
    <t>Control category</t>
  </si>
  <si>
    <t>Delta T</t>
  </si>
  <si>
    <t>System type</t>
  </si>
  <si>
    <t>Group / community heating scheme</t>
  </si>
  <si>
    <t>Energy requirements - individual heating systems</t>
  </si>
  <si>
    <t>Space Heating</t>
  </si>
  <si>
    <t>Type of Heating System</t>
  </si>
  <si>
    <t>Airflow Volume</t>
  </si>
  <si>
    <t>Efficiency of Heat Pump</t>
  </si>
  <si>
    <t>Efficiency of main heating system [%] (from HARP or from Table 4a or 4b)</t>
  </si>
  <si>
    <t>Heat Pump</t>
  </si>
  <si>
    <t>[%]</t>
  </si>
  <si>
    <t>Manufacturer and model name main space heating</t>
  </si>
  <si>
    <t>% Renewables</t>
  </si>
  <si>
    <t>Efficiency adjustment factor from Table 4c [-]</t>
  </si>
  <si>
    <t>enter 1 if not applicable</t>
  </si>
  <si>
    <t>Adjusted efficiency of main heating system [%]</t>
  </si>
  <si>
    <t>Space Heating Demand from Heat Pump</t>
  </si>
  <si>
    <t>Fraction of heat from secondary / supplementary system (from Table 7, Table 10 or Appendix F)</t>
  </si>
  <si>
    <t>Efficiency of secondary / supplementary system [%] (from Table 4a or Appendix E)</t>
  </si>
  <si>
    <t>Energy required for main space heating system [kWh/y]</t>
  </si>
  <si>
    <t>Energy required for secondary space heating [kWh/y]</t>
  </si>
  <si>
    <t>Manufacturer and model name secondary space heating</t>
  </si>
  <si>
    <t>Efficiency of main water heater [%] (from HARP or from Table 4a or 4b)</t>
  </si>
  <si>
    <t>Adjusted efficiency of main water heater [%]</t>
  </si>
  <si>
    <t>Energy required for main water heater [kWh/y]</t>
  </si>
  <si>
    <t>Hot Water Demand from Heat Pump</t>
  </si>
  <si>
    <t>Energy required for supplementary electric water heating [kWh/y]</t>
  </si>
  <si>
    <t>Electricity for pumps and fans and electric keep-hot facility</t>
  </si>
  <si>
    <t>CHP</t>
  </si>
  <si>
    <t>Fraction of main space and water heat from CHP</t>
  </si>
  <si>
    <t>Heating system</t>
  </si>
  <si>
    <t>Heat output from CHP [kWh/y]</t>
  </si>
  <si>
    <t>Keep-hot facility of a combi boiler</t>
  </si>
  <si>
    <t>Ventilation system</t>
  </si>
  <si>
    <t>Solar water heating pump</t>
  </si>
  <si>
    <t>Electric Shower</t>
  </si>
  <si>
    <t>Total</t>
  </si>
  <si>
    <t>Fuel data</t>
  </si>
  <si>
    <t>Fuel</t>
  </si>
  <si>
    <t>Primary energy conversion factor</t>
  </si>
  <si>
    <r>
      <t>CO</t>
    </r>
    <r>
      <rPr>
        <vertAlign val="subscript"/>
        <sz val="9"/>
        <rFont val="Arial"/>
        <family val="2"/>
      </rPr>
      <t>2</t>
    </r>
    <r>
      <rPr>
        <sz val="9"/>
        <rFont val="Arial"/>
        <family val="2"/>
      </rPr>
      <t xml:space="preserve"> emission factor</t>
    </r>
  </si>
  <si>
    <t>[kg/kWh]</t>
  </si>
  <si>
    <t>Prim E factors</t>
  </si>
  <si>
    <t>CO2 factors</t>
  </si>
  <si>
    <t>Space heating - main</t>
  </si>
  <si>
    <t>mains gas</t>
  </si>
  <si>
    <t>Space heating - secondary</t>
  </si>
  <si>
    <t>Water heating - main</t>
  </si>
  <si>
    <t>Water heating - supplementary</t>
  </si>
  <si>
    <t>Pumps, fans</t>
  </si>
  <si>
    <t>Energy for lighting</t>
  </si>
  <si>
    <t>Renewable and energy-saving technologies</t>
  </si>
  <si>
    <t>CHP Data</t>
  </si>
  <si>
    <t>Type 1</t>
  </si>
  <si>
    <t>Description</t>
  </si>
  <si>
    <t>Energy produced or saved (Table 8)</t>
  </si>
  <si>
    <t>Electrical efficiency of CHP (e.g. 0.3)  [-]</t>
  </si>
  <si>
    <t>Energy consumed by the technology (Table 8)</t>
  </si>
  <si>
    <t>Heat efficiency of CHP (e.g. 0.5)  [-]</t>
  </si>
  <si>
    <t>Type 2</t>
  </si>
  <si>
    <t>CHP fuel type</t>
  </si>
  <si>
    <t>CHP fuel primary energy conversion factor [-]</t>
  </si>
  <si>
    <t>CHP fuel CO2 emission factor [-]</t>
  </si>
  <si>
    <t>Type 3</t>
  </si>
  <si>
    <t>Energy delivered to CHP [kWh/y]</t>
  </si>
  <si>
    <t>Electrical output from CHP [kWh/y]</t>
  </si>
  <si>
    <t>Results by end use</t>
  </si>
  <si>
    <t>Delivered energy</t>
  </si>
  <si>
    <t>Primary energy</t>
  </si>
  <si>
    <r>
      <t>CO</t>
    </r>
    <r>
      <rPr>
        <vertAlign val="subscript"/>
        <sz val="9"/>
        <rFont val="Arial"/>
        <family val="2"/>
      </rPr>
      <t>2</t>
    </r>
    <r>
      <rPr>
        <sz val="9"/>
        <rFont val="Arial"/>
        <family val="2"/>
      </rPr>
      <t xml:space="preserve"> emissions</t>
    </r>
  </si>
  <si>
    <t>[kg/y]</t>
  </si>
  <si>
    <t>Deliv</t>
  </si>
  <si>
    <t>Prim E</t>
  </si>
  <si>
    <t>CO2 emissions</t>
  </si>
  <si>
    <t>Pumps, fans, electric showers</t>
  </si>
  <si>
    <t>CHP input (individual heating systems only)</t>
  </si>
  <si>
    <t>CHP electrical output (individual heating system only)</t>
  </si>
  <si>
    <t>Photovoltaic/ Wind Turbine</t>
  </si>
  <si>
    <t>per m2</t>
  </si>
  <si>
    <t>Energy produced or saved</t>
  </si>
  <si>
    <t>Energy consumed by the technology</t>
  </si>
  <si>
    <t>Electrical Delivered Energy</t>
  </si>
  <si>
    <t>Thermal Delivered Energy</t>
  </si>
  <si>
    <t>Biomass</t>
  </si>
  <si>
    <t>Biodiesel</t>
  </si>
  <si>
    <t>Bioethonal</t>
  </si>
  <si>
    <t>Heat Pump Efficiency</t>
  </si>
  <si>
    <t>Heat Use</t>
  </si>
  <si>
    <t>Elec Use</t>
  </si>
  <si>
    <t>Environmental</t>
  </si>
  <si>
    <t>Heat Pump as main space heating system</t>
  </si>
  <si>
    <t>Heat Pump as secondary space heating system</t>
  </si>
  <si>
    <t>Heat Pump as main water heating system</t>
  </si>
  <si>
    <t xml:space="preserve">Renewable Electricity </t>
  </si>
  <si>
    <t>PV/ Wind</t>
  </si>
  <si>
    <t>CHP Thermal</t>
  </si>
  <si>
    <t>Renewable Other</t>
  </si>
  <si>
    <t>CHP Saved</t>
  </si>
  <si>
    <t>Energy Use within Dwelling</t>
  </si>
  <si>
    <t>Fuel lists</t>
  </si>
  <si>
    <t>Main</t>
  </si>
  <si>
    <t>REST</t>
  </si>
  <si>
    <t>Not applicable</t>
  </si>
  <si>
    <t>Renewable thermal</t>
  </si>
  <si>
    <t>Renewable electrical</t>
  </si>
  <si>
    <t>Total heat demand main space heating [kWh/y]</t>
  </si>
  <si>
    <t>Contribution from CHP</t>
  </si>
  <si>
    <t>Energy requirements - group/community heating scheme</t>
  </si>
  <si>
    <t>This section should be used when space heating is provided by group/community heating only, with or without CHP or heat recovered from power stations.</t>
  </si>
  <si>
    <t>Space heating</t>
  </si>
  <si>
    <t>Secondary system</t>
  </si>
  <si>
    <t>Fraction of heat use from secondary / supplementary system (from Table 7, Table 10 or Appendix F)</t>
  </si>
  <si>
    <t>Main (group heating) system</t>
  </si>
  <si>
    <t>Is charging based on heat consumed?</t>
  </si>
  <si>
    <t>Efficiency factor for charging method [-]</t>
  </si>
  <si>
    <t>Heat for space heating delivered to dwelling [kWh/y]</t>
  </si>
  <si>
    <t>Calculation of primary energy and CO2 emission factors</t>
  </si>
  <si>
    <t>Distribution loss factor [-] (Table 9)</t>
  </si>
  <si>
    <t>Fraction of heat from CHP unit or fraction of heat recoverd from power station</t>
  </si>
  <si>
    <t xml:space="preserve">From operational records or the plant design </t>
  </si>
  <si>
    <t xml:space="preserve"> specifiaction. Enter 0 if no CHP.</t>
  </si>
  <si>
    <t>Boilers</t>
  </si>
  <si>
    <t>If the fraction of heat from boilers is zero, this section is irrelevant.</t>
  </si>
  <si>
    <t>Primary</t>
  </si>
  <si>
    <t>CO2</t>
  </si>
  <si>
    <t>Percent</t>
  </si>
  <si>
    <t>energy</t>
  </si>
  <si>
    <t>emission</t>
  </si>
  <si>
    <t>Heat source type</t>
  </si>
  <si>
    <t>Efficiency</t>
  </si>
  <si>
    <t>of heat</t>
  </si>
  <si>
    <t>factor</t>
  </si>
  <si>
    <t>Central Boiler</t>
  </si>
  <si>
    <t>% Efficiency</t>
  </si>
  <si>
    <t>Solar heating system</t>
  </si>
  <si>
    <t>Check total:</t>
  </si>
  <si>
    <t>Factors for heat delivered to dwelling from boilers</t>
  </si>
  <si>
    <t>CHP or waste heat from power stations</t>
  </si>
  <si>
    <t>See Appendix C2 for definitions</t>
  </si>
  <si>
    <t>If CHP</t>
  </si>
  <si>
    <t>Electrical efficiency of CHP unit (e.g. 0.3) from operational records or the CHP design specification [-]</t>
  </si>
  <si>
    <t>Heat efficiency of CHP unit (e.g. 0.5) from operational records or the CHP design specification [-]</t>
  </si>
  <si>
    <t>Fuel type</t>
  </si>
  <si>
    <t>Primary energy factor</t>
  </si>
  <si>
    <t>Factors for the CHP fuel</t>
  </si>
  <si>
    <t>Factors for electricity displaced from grid</t>
  </si>
  <si>
    <t>Factors for heat leaving CHP plant</t>
  </si>
  <si>
    <t>Renewable Primary Energy Factor</t>
  </si>
  <si>
    <t>Non Renewable Primary Energy Factor</t>
  </si>
  <si>
    <t>Factors for heat delivered to dwelling from community heating scheme</t>
  </si>
  <si>
    <r>
      <t>Electricity for pumps and fans</t>
    </r>
    <r>
      <rPr>
        <sz val="10"/>
        <rFont val="Arial"/>
        <family val="2"/>
      </rPr>
      <t xml:space="preserve"> (mechanical ventilation only) [kWh/y]</t>
    </r>
  </si>
  <si>
    <t>group heating scheme</t>
  </si>
  <si>
    <t>Water heating main</t>
  </si>
  <si>
    <t>not applicable</t>
  </si>
  <si>
    <t>Relevant for new-build.</t>
  </si>
  <si>
    <t>Delivered energy from heat-only sources [kWh/y]</t>
  </si>
  <si>
    <t>Heat delivered to dwelling from CHP [kWh/y]</t>
  </si>
  <si>
    <t>Heat delivered to dwelling from District Heating [kWh/y]</t>
  </si>
  <si>
    <t>Renewable energy technologies associated with dwelling</t>
  </si>
  <si>
    <t>Group heating - Boiler type 1</t>
  </si>
  <si>
    <t>Group heating - Boiler type 2</t>
  </si>
  <si>
    <t>Group heating - Solar heating system</t>
  </si>
  <si>
    <t>Contribution from District Heating</t>
  </si>
  <si>
    <r>
      <t>Fuel lists</t>
    </r>
    <r>
      <rPr>
        <sz val="10"/>
        <rFont val="Arial"/>
        <family val="2"/>
      </rPr>
      <t xml:space="preserve"> (referencing Ener1 sheet)</t>
    </r>
  </si>
  <si>
    <t>Group heating boilers and CHP plant</t>
  </si>
  <si>
    <t>Individual heater</t>
  </si>
  <si>
    <t>Results</t>
  </si>
  <si>
    <r>
      <t>CO</t>
    </r>
    <r>
      <rPr>
        <vertAlign val="subscript"/>
        <sz val="10"/>
        <rFont val="Arial"/>
        <family val="2"/>
      </rPr>
      <t>2</t>
    </r>
    <r>
      <rPr>
        <sz val="10"/>
        <rFont val="Arial"/>
        <family val="2"/>
      </rPr>
      <t xml:space="preserve"> emissions</t>
    </r>
  </si>
  <si>
    <t>Pumps, fans, etc.</t>
  </si>
  <si>
    <r>
      <t>per m</t>
    </r>
    <r>
      <rPr>
        <vertAlign val="superscript"/>
        <sz val="10"/>
        <rFont val="Arial"/>
        <family val="2"/>
      </rPr>
      <t>2</t>
    </r>
    <r>
      <rPr>
        <sz val="10"/>
        <rFont val="Arial"/>
        <family val="2"/>
      </rPr>
      <t xml:space="preserve"> floor area</t>
    </r>
  </si>
  <si>
    <r>
      <t>[kWh/m</t>
    </r>
    <r>
      <rPr>
        <vertAlign val="superscript"/>
        <sz val="10"/>
        <rFont val="Arial"/>
        <family val="2"/>
      </rPr>
      <t>2</t>
    </r>
    <r>
      <rPr>
        <sz val="10"/>
        <rFont val="Arial"/>
        <family val="2"/>
      </rPr>
      <t xml:space="preserve"> y]</t>
    </r>
  </si>
  <si>
    <t>Building Energy Rating</t>
  </si>
  <si>
    <t>Check conformity with MPEPC, MPCPC and RER requirements in TGD L</t>
  </si>
  <si>
    <t>Renewable</t>
  </si>
  <si>
    <t>Energy Ratio</t>
  </si>
  <si>
    <t>Totals for reference dwelling</t>
  </si>
  <si>
    <t>EPC</t>
  </si>
  <si>
    <t>CPC</t>
  </si>
  <si>
    <t>RER</t>
  </si>
  <si>
    <t>Performance coefficients</t>
  </si>
  <si>
    <t>Maximum permitted</t>
  </si>
  <si>
    <t>Subsidiary processing</t>
  </si>
  <si>
    <t>Error value in reference dwelling result?</t>
  </si>
  <si>
    <t>BER</t>
  </si>
  <si>
    <t>Bound</t>
  </si>
  <si>
    <t>Lower limit</t>
  </si>
  <si>
    <t>Label</t>
  </si>
  <si>
    <t>A1</t>
  </si>
  <si>
    <t>A2</t>
  </si>
  <si>
    <t>A3</t>
  </si>
  <si>
    <t>B1</t>
  </si>
  <si>
    <t>B2</t>
  </si>
  <si>
    <t>B3</t>
  </si>
  <si>
    <t>C1</t>
  </si>
  <si>
    <t>C2</t>
  </si>
  <si>
    <t>C3</t>
  </si>
  <si>
    <t>D1</t>
  </si>
  <si>
    <t>D2</t>
  </si>
  <si>
    <t>E1</t>
  </si>
  <si>
    <t>E2</t>
  </si>
  <si>
    <t>F</t>
  </si>
  <si>
    <t>G</t>
  </si>
  <si>
    <t>Heat Pump Environmental</t>
  </si>
  <si>
    <t>Generated Electricity</t>
  </si>
  <si>
    <t>Generated Electricity CHP</t>
  </si>
  <si>
    <t>Other Renewable</t>
  </si>
  <si>
    <t>District</t>
  </si>
  <si>
    <t>CHP Energy Saved</t>
  </si>
  <si>
    <t>E</t>
  </si>
  <si>
    <r>
      <t>f</t>
    </r>
    <r>
      <rPr>
        <b/>
        <sz val="9"/>
        <color rgb="FFFF0000"/>
        <rFont val="Calibri"/>
        <family val="2"/>
        <scheme val="minor"/>
      </rPr>
      <t>Pnren</t>
    </r>
  </si>
  <si>
    <r>
      <t>f</t>
    </r>
    <r>
      <rPr>
        <b/>
        <sz val="9"/>
        <color rgb="FF00B050"/>
        <rFont val="Calibri"/>
        <family val="2"/>
        <scheme val="minor"/>
      </rPr>
      <t>Pren
on-site</t>
    </r>
  </si>
  <si>
    <r>
      <t>E</t>
    </r>
    <r>
      <rPr>
        <b/>
        <sz val="9"/>
        <color rgb="FFFF0000"/>
        <rFont val="Calibri"/>
        <family val="2"/>
        <scheme val="minor"/>
      </rPr>
      <t>Pnren</t>
    </r>
  </si>
  <si>
    <r>
      <t>E</t>
    </r>
    <r>
      <rPr>
        <b/>
        <sz val="9"/>
        <color rgb="FF00B050"/>
        <rFont val="Calibri"/>
        <family val="2"/>
        <scheme val="minor"/>
      </rPr>
      <t>pren
on-site</t>
    </r>
  </si>
  <si>
    <r>
      <t>E</t>
    </r>
    <r>
      <rPr>
        <b/>
        <sz val="9"/>
        <rFont val="Calibri"/>
        <family val="2"/>
        <scheme val="minor"/>
      </rPr>
      <t>Ptot</t>
    </r>
  </si>
  <si>
    <t>nrb-os</t>
  </si>
  <si>
    <t>+ Delivered energy</t>
  </si>
  <si>
    <t>PV/Wind</t>
  </si>
  <si>
    <t>Solar</t>
  </si>
  <si>
    <t>Bioethanol</t>
  </si>
  <si>
    <t>+ Environmental energy</t>
  </si>
  <si>
    <t>HP</t>
  </si>
  <si>
    <t>+ Saved energy</t>
  </si>
  <si>
    <t>District Heating</t>
  </si>
  <si>
    <t>Grid</t>
  </si>
  <si>
    <t>Thermal</t>
  </si>
  <si>
    <t>TOTAL STEP A</t>
  </si>
  <si>
    <t>- Energy not used in Regulated Loads</t>
  </si>
  <si>
    <t>PV/Wind/CHP</t>
  </si>
  <si>
    <t>Excluding Energy not used in Regulated Loads</t>
  </si>
  <si>
    <t>RER without Energy not Used in Regulated Load.</t>
  </si>
  <si>
    <t>Table 8: Fuel data</t>
  </si>
  <si>
    <t>CO2 emission factor</t>
  </si>
  <si>
    <t>Is fuel renewable (Biomass) for Part L? (1=yes; 0=no)</t>
  </si>
  <si>
    <t>Is fuel renewable (Biodiesel) for Part L? (1=yes; 0=no)</t>
  </si>
  <si>
    <t>Is fuel renewable (Bioethanol) for Part L? (1=yes; 0=no)</t>
  </si>
  <si>
    <t>Gas</t>
  </si>
  <si>
    <t>bulk LPG (propane or butane)</t>
  </si>
  <si>
    <t>bottled LPG</t>
  </si>
  <si>
    <t>Oil</t>
  </si>
  <si>
    <t>heating oil</t>
  </si>
  <si>
    <t>Solid fuel</t>
  </si>
  <si>
    <t>house coal</t>
  </si>
  <si>
    <t>anthracite</t>
  </si>
  <si>
    <t>manufactured smokeless fuel</t>
  </si>
  <si>
    <t>peat briquettes</t>
  </si>
  <si>
    <t>sod peat</t>
  </si>
  <si>
    <t>wood logs</t>
  </si>
  <si>
    <t>wood pellets - in bags, for sec. htg</t>
  </si>
  <si>
    <t>wood pellets - bulk supply, for main htg</t>
  </si>
  <si>
    <t>wood chips</t>
  </si>
  <si>
    <t>solid multi-fuel</t>
  </si>
  <si>
    <t>electricity</t>
  </si>
  <si>
    <t>electricity sold to or displaced from grid</t>
  </si>
  <si>
    <t>Group heating</t>
  </si>
  <si>
    <t>waste combustion</t>
  </si>
  <si>
    <t>biomass or biogas</t>
  </si>
  <si>
    <t>waste heat from power stations</t>
  </si>
  <si>
    <t>2011 biofuels added</t>
  </si>
  <si>
    <t>Biodiesel from renewable sources only</t>
  </si>
  <si>
    <t>Bioethanol from renewable sources only</t>
  </si>
  <si>
    <t>Configurable Electricity Factors</t>
  </si>
  <si>
    <t>Solar water heating</t>
  </si>
  <si>
    <t>Calculation of solar input (from Appendix H)</t>
  </si>
  <si>
    <t>DEAP manual reference</t>
  </si>
  <si>
    <r>
      <t>Aperture area of solar collector [m</t>
    </r>
    <r>
      <rPr>
        <vertAlign val="superscript"/>
        <sz val="10"/>
        <rFont val="Arial"/>
        <family val="2"/>
      </rPr>
      <t>2</t>
    </r>
    <r>
      <rPr>
        <sz val="10"/>
        <rFont val="Arial"/>
        <family val="2"/>
      </rPr>
      <t xml:space="preserve"> ]</t>
    </r>
  </si>
  <si>
    <t>[H1]</t>
  </si>
  <si>
    <t>if only the gross area can be established reliably, multiply it by ratio in Table H1</t>
  </si>
  <si>
    <r>
      <t>Zero-loss collector efficiency, η</t>
    </r>
    <r>
      <rPr>
        <vertAlign val="subscript"/>
        <sz val="10"/>
        <rFont val="Arial"/>
        <family val="2"/>
      </rPr>
      <t>0</t>
    </r>
    <r>
      <rPr>
        <sz val="10"/>
        <rFont val="Arial"/>
        <family val="2"/>
      </rPr>
      <t>, from test certificate or Table H1 [-]</t>
    </r>
  </si>
  <si>
    <t>[H2]</t>
  </si>
  <si>
    <r>
      <t>Collector heat loss coefficient, a1 [W/m</t>
    </r>
    <r>
      <rPr>
        <vertAlign val="superscript"/>
        <sz val="10"/>
        <rFont val="Arial"/>
        <family val="2"/>
      </rPr>
      <t>2</t>
    </r>
    <r>
      <rPr>
        <sz val="10"/>
        <rFont val="Arial"/>
        <family val="2"/>
      </rPr>
      <t xml:space="preserve"> K], from test certificate or Table H1</t>
    </r>
  </si>
  <si>
    <t>[H3]</t>
  </si>
  <si>
    <r>
      <t>Collector performance ratio, a1/η</t>
    </r>
    <r>
      <rPr>
        <vertAlign val="subscript"/>
        <sz val="10"/>
        <rFont val="Arial"/>
        <family val="2"/>
      </rPr>
      <t>0</t>
    </r>
    <r>
      <rPr>
        <sz val="10"/>
        <rFont val="Arial"/>
        <family val="2"/>
      </rPr>
      <t xml:space="preserve"> [W/m</t>
    </r>
    <r>
      <rPr>
        <vertAlign val="superscript"/>
        <sz val="10"/>
        <rFont val="Arial"/>
        <family val="2"/>
      </rPr>
      <t>2</t>
    </r>
    <r>
      <rPr>
        <sz val="10"/>
        <rFont val="Arial"/>
        <family val="2"/>
      </rPr>
      <t xml:space="preserve"> K]</t>
    </r>
  </si>
  <si>
    <t>[H4]</t>
  </si>
  <si>
    <r>
      <t>Annual solar radiation [kWh/m</t>
    </r>
    <r>
      <rPr>
        <vertAlign val="superscript"/>
        <sz val="10"/>
        <rFont val="Arial"/>
        <family val="2"/>
      </rPr>
      <t>2</t>
    </r>
    <r>
      <rPr>
        <sz val="10"/>
        <rFont val="Arial"/>
        <family val="2"/>
      </rPr>
      <t>] from Table H2</t>
    </r>
  </si>
  <si>
    <t>[H5]</t>
  </si>
  <si>
    <t>Overshading factor [-] from Table H3</t>
  </si>
  <si>
    <t>[H6]</t>
  </si>
  <si>
    <t>Solar energy available [kWh/y]</t>
  </si>
  <si>
    <t>[H7]</t>
  </si>
  <si>
    <t>Solar-to-load ratio [-]</t>
  </si>
  <si>
    <t>[H8]</t>
  </si>
  <si>
    <t>[H9]</t>
  </si>
  <si>
    <t>If the cylinder is heated by a boiler, is there a cylinder stat?</t>
  </si>
  <si>
    <t>Adjusted utilisation factor [-]</t>
  </si>
  <si>
    <t>Collector performance factor</t>
  </si>
  <si>
    <t>[H10]</t>
  </si>
  <si>
    <t>Dedicated solar storage volume, Vs [litres]</t>
  </si>
  <si>
    <t>[H11]</t>
  </si>
  <si>
    <t>Volume of pre-heat store, or dedicated solar volume of a combined cylinder</t>
  </si>
  <si>
    <t>Is solar storage contained within a combined cylinder?</t>
  </si>
  <si>
    <t>If yes, total volume of cylinder [litres]</t>
  </si>
  <si>
    <t>[H12]</t>
  </si>
  <si>
    <t>Effective solar volume, Veff [litres]</t>
  </si>
  <si>
    <t>[H13]</t>
  </si>
  <si>
    <t>Daily hot water usage, Vd [litres]</t>
  </si>
  <si>
    <t>[H14]</t>
  </si>
  <si>
    <t>Volume ratio, Veff/Vd [-]</t>
  </si>
  <si>
    <t>[H15]</t>
  </si>
  <si>
    <t>Solar storage volume factor, f(Veff/Vd)</t>
  </si>
  <si>
    <t>[H16]</t>
  </si>
  <si>
    <t>H17]</t>
  </si>
  <si>
    <t>Notes:</t>
  </si>
  <si>
    <t>1. Some formulae above reference the 'Wh' worksheet.</t>
  </si>
  <si>
    <t>2. Reference the result - the solar DHW input, Qs - from the 'Wh' sheet where applicable.</t>
  </si>
  <si>
    <t>List</t>
  </si>
  <si>
    <t>Assessment of internal temperature in summer</t>
  </si>
  <si>
    <t>from Appendix P</t>
  </si>
  <si>
    <t>This worksheet does not form part of the DEAP rating calculation; it is provided for information only.</t>
  </si>
  <si>
    <t>Effective air change rate for summer period [ac/h] (Table P1)</t>
  </si>
  <si>
    <t>Ventilation heat loss coefficient [W/K]</t>
  </si>
  <si>
    <t>Fabric heat loss coefficient [W/K]</t>
  </si>
  <si>
    <t>Heat loss coefficient under summer conditions, H [W/K]</t>
  </si>
  <si>
    <r>
      <t>Total solar gains for summer period [W/m</t>
    </r>
    <r>
      <rPr>
        <vertAlign val="superscript"/>
        <sz val="10"/>
        <rFont val="Arial"/>
        <family val="2"/>
      </rPr>
      <t>2</t>
    </r>
    <r>
      <rPr>
        <sz val="10"/>
        <rFont val="Arial"/>
        <family val="2"/>
      </rPr>
      <t>]</t>
    </r>
  </si>
  <si>
    <t>Internal gains [W]</t>
  </si>
  <si>
    <t>Total gains in summer [W]</t>
  </si>
  <si>
    <t>Temperature increment due to gains [C]</t>
  </si>
  <si>
    <t>Summer mean external temperature [C] (Table P2)</t>
  </si>
  <si>
    <t>default 15</t>
  </si>
  <si>
    <r>
      <t>Heat capacity parameter [MJ/m</t>
    </r>
    <r>
      <rPr>
        <vertAlign val="superscript"/>
        <sz val="10"/>
        <rFont val="Arial"/>
        <family val="2"/>
      </rPr>
      <t>2</t>
    </r>
    <r>
      <rPr>
        <sz val="10"/>
        <rFont val="Arial"/>
        <family val="2"/>
      </rPr>
      <t xml:space="preserve"> K]</t>
    </r>
  </si>
  <si>
    <t>(Internal heat capacity of dwelling (24 hr) divided by its total floor area)</t>
  </si>
  <si>
    <t>Temperature increment related to thermal mass [C]</t>
  </si>
  <si>
    <t>Threshold internal temperature [C]</t>
  </si>
  <si>
    <t>Table 1c: Solar flux for summer period [W/m2]</t>
  </si>
  <si>
    <t>"Appendix Q" Renewable and Energy Saving Technologies</t>
  </si>
  <si>
    <t>Contribution [kWh/y]</t>
  </si>
  <si>
    <t>Assessment of Heat Pump Performance</t>
  </si>
  <si>
    <t>I.S. EN 14825</t>
  </si>
  <si>
    <t>Air to Water</t>
  </si>
  <si>
    <t>Heat Emission Type</t>
  </si>
  <si>
    <t>Fixed Outlet</t>
  </si>
  <si>
    <t>NA</t>
  </si>
  <si>
    <t>No Hot Water Store</t>
  </si>
  <si>
    <t>3XS</t>
  </si>
  <si>
    <t>ERROR</t>
  </si>
  <si>
    <r>
      <t>Water heating energy efficiency, η</t>
    </r>
    <r>
      <rPr>
        <sz val="10.8"/>
        <rFont val="Calibri"/>
        <family val="2"/>
      </rPr>
      <t>wh</t>
    </r>
  </si>
  <si>
    <t>I.S. EN 14511</t>
  </si>
  <si>
    <t>Brine to Water</t>
  </si>
  <si>
    <t>1 or more Radiators present</t>
  </si>
  <si>
    <t>Variable Outlet</t>
  </si>
  <si>
    <t>Low Temperature</t>
  </si>
  <si>
    <t>Integral Hot Water Storage</t>
  </si>
  <si>
    <t>XXS</t>
  </si>
  <si>
    <t>Coefficient of Performance, COP</t>
  </si>
  <si>
    <t>Total heat loss (W/K) taken from DEAP</t>
  </si>
  <si>
    <t>W/K</t>
  </si>
  <si>
    <t>Source from the Building Elements - Heat Loss Results Tab in DEAP</t>
  </si>
  <si>
    <t>I.S. EN 255-3</t>
  </si>
  <si>
    <t>Water to Water</t>
  </si>
  <si>
    <t>Fan Coil Units present (no radiators)</t>
  </si>
  <si>
    <t>Mains Gas</t>
  </si>
  <si>
    <t>High Temperature</t>
  </si>
  <si>
    <t>Separate Hot Water Storage</t>
  </si>
  <si>
    <t>XS</t>
  </si>
  <si>
    <t>Heat Loss Watts</t>
  </si>
  <si>
    <t>Watts</t>
  </si>
  <si>
    <t>Required Heating Capacity at design conditions.</t>
  </si>
  <si>
    <t>I.S. EN 16147</t>
  </si>
  <si>
    <t>Exhaust Air to Water</t>
  </si>
  <si>
    <t>Underfloor heating only</t>
  </si>
  <si>
    <t>LPG Gas (bottled or bulk)</t>
  </si>
  <si>
    <t>Very High Temperature</t>
  </si>
  <si>
    <t>Integral and separate Hot Water Storage</t>
  </si>
  <si>
    <t>S</t>
  </si>
  <si>
    <t>Is the Heat Pump part of a Group Heating Scheme</t>
  </si>
  <si>
    <t>Air to Air</t>
  </si>
  <si>
    <t>Air</t>
  </si>
  <si>
    <t>Heating Oil</t>
  </si>
  <si>
    <t>M</t>
  </si>
  <si>
    <t>Proportion of group heating provided by the heat pump</t>
  </si>
  <si>
    <t>%</t>
  </si>
  <si>
    <t>Brine to Air</t>
  </si>
  <si>
    <t>L</t>
  </si>
  <si>
    <t>Floor Area of Dwelling</t>
  </si>
  <si>
    <r>
      <t>m</t>
    </r>
    <r>
      <rPr>
        <vertAlign val="superscript"/>
        <sz val="12"/>
        <rFont val="Calibri"/>
        <family val="2"/>
      </rPr>
      <t>2</t>
    </r>
  </si>
  <si>
    <t>Source from DEAP</t>
  </si>
  <si>
    <t>Water to Air</t>
  </si>
  <si>
    <t>XL</t>
  </si>
  <si>
    <t>If Heat Pump serves a Group Heat Scheme, the total Floor Area served by Heat Pump is:</t>
  </si>
  <si>
    <t>House coal/ Anthracite</t>
  </si>
  <si>
    <t>XXL</t>
  </si>
  <si>
    <t>3XL</t>
  </si>
  <si>
    <t>Manufacturer of the installed heat pump(s)</t>
  </si>
  <si>
    <t>Source from Ecodesign Data or HARP Database or in compliance with DEAP methodology</t>
  </si>
  <si>
    <t>Peat</t>
  </si>
  <si>
    <t>4XL</t>
  </si>
  <si>
    <t>Model of the installed heat pump(s)</t>
  </si>
  <si>
    <t>Wood logs/pellets/chips</t>
  </si>
  <si>
    <t>Type of heat pump</t>
  </si>
  <si>
    <t>Solid multi-fuel</t>
  </si>
  <si>
    <t>Temperature Control 
(refered to as Capacity Control in Ecodesign Standard Template)</t>
  </si>
  <si>
    <t>Source from Ecodesign Data</t>
  </si>
  <si>
    <t>Space Heating Test Standard</t>
  </si>
  <si>
    <t>Source from Ecodesign Data or HARP Database</t>
  </si>
  <si>
    <t>Operation Limit Temperature (TOL)</t>
  </si>
  <si>
    <r>
      <t>o</t>
    </r>
    <r>
      <rPr>
        <sz val="12"/>
        <rFont val="Calibri"/>
        <family val="2"/>
      </rPr>
      <t>C</t>
    </r>
  </si>
  <si>
    <t xml:space="preserve">Source from Ecodesign Data </t>
  </si>
  <si>
    <t>Heating water operating limit temperature (WTOL)</t>
  </si>
  <si>
    <t>Annual space heating provided by Heat Pump</t>
  </si>
  <si>
    <t>Design Outdoor Temperature</t>
  </si>
  <si>
    <t>Based on CIBSE Guide A Section 2</t>
  </si>
  <si>
    <t>Indoor Design Temperature (Mean Internal Temperature)</t>
  </si>
  <si>
    <t>Source from Net Space Heat Demand "Required mean internal temperature during heating hours degC"</t>
  </si>
  <si>
    <t>Heat emission type served by heat pump within the dwelling:</t>
  </si>
  <si>
    <t>Select all that apply:</t>
  </si>
  <si>
    <t>1 or more Radiators</t>
  </si>
  <si>
    <t>1 or more Fan Coil Units</t>
  </si>
  <si>
    <t>Default Supply Temperature</t>
  </si>
  <si>
    <t>Underfloor Heating</t>
  </si>
  <si>
    <t>Based on SAP input parameters.</t>
  </si>
  <si>
    <t>Air used as Emitter (to Air Units)</t>
  </si>
  <si>
    <t>Design Flow Temperature
Use "Default Supply Temperature" unless other evidence available</t>
  </si>
  <si>
    <t>Note: have deleted Row 31 as this is dealt with in the calcs on heating calc (row 38)</t>
  </si>
  <si>
    <t>Exponent n, characterising type of emission system</t>
  </si>
  <si>
    <t>Source from SAP 2009 &amp; 2012 - Calculation Methodology for electrically driven heat pumps</t>
  </si>
  <si>
    <t>Emitter Temperature Drop</t>
  </si>
  <si>
    <t>Return Temperature at design conditions</t>
  </si>
  <si>
    <t>No of Hrs per Day Heat Pump in Operation</t>
  </si>
  <si>
    <t>Source from Designer/ Installer sign off sheet, default is DEAP heating schedule which is 8 hrs a day</t>
  </si>
  <si>
    <t>Cut-out hours</t>
  </si>
  <si>
    <t>Electricity Primary Energy Factor</t>
  </si>
  <si>
    <t>Source from DEAP tool, Options</t>
  </si>
  <si>
    <t>Is a Back Up Space Heater Present within Dwelling</t>
  </si>
  <si>
    <t>Source from Designer/ Installer sign off sheet</t>
  </si>
  <si>
    <t>Back Up Space Heater Fuel</t>
  </si>
  <si>
    <t>Primary Energy Factor for Back Up Space Heater</t>
  </si>
  <si>
    <t>Efficiency of Back up Space Heater</t>
  </si>
  <si>
    <t>Based on DEAP Methodology, defaults taken from DEAP Manual.</t>
  </si>
  <si>
    <t xml:space="preserve">Adjusted Efficiency of Back up Space Heater relative to Direct Electric Heating </t>
  </si>
  <si>
    <t>Test Conditions EN 14825:2013</t>
  </si>
  <si>
    <t>High Temperature
Data is mandatory requirement under Ecodesign Directive (Note its referred to as Medium Temperature Application in Ecodesign directive)</t>
  </si>
  <si>
    <t>Source from Ecodesign Data or accredited tests to EN14825</t>
  </si>
  <si>
    <t>Additional Test Points available at:</t>
  </si>
  <si>
    <t>Medium Temperature</t>
  </si>
  <si>
    <t>Maximum Test Temperature allowed for in EN14825 testing</t>
  </si>
  <si>
    <r>
      <t>A (88%)
-7</t>
    </r>
    <r>
      <rPr>
        <b/>
        <vertAlign val="superscript"/>
        <sz val="12"/>
        <color indexed="8"/>
        <rFont val="Calibri"/>
        <family val="2"/>
      </rPr>
      <t>o</t>
    </r>
    <r>
      <rPr>
        <b/>
        <sz val="12"/>
        <color indexed="8"/>
        <rFont val="Calibri"/>
        <family val="2"/>
      </rPr>
      <t>C</t>
    </r>
  </si>
  <si>
    <r>
      <t>B (54%)
2</t>
    </r>
    <r>
      <rPr>
        <b/>
        <vertAlign val="superscript"/>
        <sz val="12"/>
        <color indexed="8"/>
        <rFont val="Calibri"/>
        <family val="2"/>
      </rPr>
      <t>o</t>
    </r>
    <r>
      <rPr>
        <b/>
        <sz val="12"/>
        <color indexed="8"/>
        <rFont val="Calibri"/>
        <family val="2"/>
      </rPr>
      <t>C</t>
    </r>
  </si>
  <si>
    <r>
      <t>C (35%)
7</t>
    </r>
    <r>
      <rPr>
        <b/>
        <vertAlign val="superscript"/>
        <sz val="12"/>
        <color indexed="8"/>
        <rFont val="Calibri"/>
        <family val="2"/>
      </rPr>
      <t>o</t>
    </r>
    <r>
      <rPr>
        <b/>
        <sz val="12"/>
        <color indexed="8"/>
        <rFont val="Calibri"/>
        <family val="2"/>
      </rPr>
      <t>C</t>
    </r>
  </si>
  <si>
    <r>
      <t>D (15%)
12</t>
    </r>
    <r>
      <rPr>
        <b/>
        <vertAlign val="superscript"/>
        <sz val="12"/>
        <color indexed="8"/>
        <rFont val="Calibri"/>
        <family val="2"/>
      </rPr>
      <t>o</t>
    </r>
    <r>
      <rPr>
        <b/>
        <sz val="12"/>
        <color indexed="8"/>
        <rFont val="Calibri"/>
        <family val="2"/>
      </rPr>
      <t>C</t>
    </r>
  </si>
  <si>
    <t>E* (100%)
TOL</t>
  </si>
  <si>
    <r>
      <t>Low Temperature Application (</t>
    </r>
    <r>
      <rPr>
        <b/>
        <sz val="12"/>
        <color indexed="10"/>
        <rFont val="Calibri"/>
        <family val="2"/>
      </rPr>
      <t>35</t>
    </r>
    <r>
      <rPr>
        <b/>
        <vertAlign val="superscript"/>
        <sz val="12"/>
        <color indexed="10"/>
        <rFont val="Calibri"/>
        <family val="2"/>
      </rPr>
      <t>o</t>
    </r>
    <r>
      <rPr>
        <b/>
        <sz val="12"/>
        <color indexed="10"/>
        <rFont val="Calibri"/>
        <family val="2"/>
      </rPr>
      <t>C</t>
    </r>
    <r>
      <rPr>
        <b/>
        <sz val="12"/>
        <rFont val="Calibri"/>
        <family val="2"/>
      </rPr>
      <t xml:space="preserve">)                                          </t>
    </r>
  </si>
  <si>
    <t>Source</t>
  </si>
  <si>
    <t>Sink</t>
  </si>
  <si>
    <t xml:space="preserve"> EN 14825:2013 - Table 12 (ASHP) or Table 24 (GSHP)</t>
  </si>
  <si>
    <t>Heating Capacity (kW)</t>
  </si>
  <si>
    <t>Coefficient of Performance (kW/kW)</t>
  </si>
  <si>
    <r>
      <t>Mid Temperature Application (</t>
    </r>
    <r>
      <rPr>
        <b/>
        <sz val="12"/>
        <color indexed="10"/>
        <rFont val="Calibri"/>
        <family val="2"/>
      </rPr>
      <t>45</t>
    </r>
    <r>
      <rPr>
        <b/>
        <vertAlign val="superscript"/>
        <sz val="12"/>
        <color indexed="10"/>
        <rFont val="Calibri"/>
        <family val="2"/>
      </rPr>
      <t>o</t>
    </r>
    <r>
      <rPr>
        <b/>
        <sz val="12"/>
        <color indexed="10"/>
        <rFont val="Calibri"/>
        <family val="2"/>
      </rPr>
      <t>C</t>
    </r>
    <r>
      <rPr>
        <b/>
        <sz val="12"/>
        <rFont val="Calibri"/>
        <family val="2"/>
      </rPr>
      <t xml:space="preserve">)                                          </t>
    </r>
  </si>
  <si>
    <t>EN 14825:2013 -Table 15 (ASHP) or Table 27 (GSHP)</t>
  </si>
  <si>
    <r>
      <t>High Temperature Application (</t>
    </r>
    <r>
      <rPr>
        <b/>
        <sz val="12"/>
        <color indexed="10"/>
        <rFont val="Calibri"/>
        <family val="2"/>
      </rPr>
      <t>55</t>
    </r>
    <r>
      <rPr>
        <b/>
        <vertAlign val="superscript"/>
        <sz val="12"/>
        <color indexed="10"/>
        <rFont val="Calibri"/>
        <family val="2"/>
      </rPr>
      <t>o</t>
    </r>
    <r>
      <rPr>
        <b/>
        <sz val="12"/>
        <color indexed="10"/>
        <rFont val="Calibri"/>
        <family val="2"/>
      </rPr>
      <t>C</t>
    </r>
    <r>
      <rPr>
        <b/>
        <sz val="12"/>
        <rFont val="Calibri"/>
        <family val="2"/>
      </rPr>
      <t xml:space="preserve">)                                       </t>
    </r>
  </si>
  <si>
    <t>EN 14825:2013 -  Table 6 (AAHP), Table 9 (GAHP), Table 18 (ASHP) or Table 30 (GSHP)</t>
  </si>
  <si>
    <r>
      <t>Very High Temperature Application (</t>
    </r>
    <r>
      <rPr>
        <b/>
        <sz val="12"/>
        <color indexed="10"/>
        <rFont val="Calibri"/>
        <family val="2"/>
      </rPr>
      <t>65</t>
    </r>
    <r>
      <rPr>
        <b/>
        <vertAlign val="superscript"/>
        <sz val="12"/>
        <color indexed="10"/>
        <rFont val="Calibri"/>
        <family val="2"/>
      </rPr>
      <t>o</t>
    </r>
    <r>
      <rPr>
        <b/>
        <sz val="12"/>
        <color indexed="10"/>
        <rFont val="Calibri"/>
        <family val="2"/>
      </rPr>
      <t>C</t>
    </r>
    <r>
      <rPr>
        <b/>
        <sz val="12"/>
        <rFont val="Calibri"/>
        <family val="2"/>
      </rPr>
      <t xml:space="preserve">)                                         </t>
    </r>
  </si>
  <si>
    <t>EN 14825:2013 - Table 21 (ASHP) or Table 33 (GSHP)</t>
  </si>
  <si>
    <t>Source from Designer/ Installer sign off sheet or site evidence without Ecodesign</t>
  </si>
  <si>
    <t>Water Heating Test Standard</t>
  </si>
  <si>
    <t>Output from Main Water Heater</t>
  </si>
  <si>
    <t>Source from the Water Heating Tab, Output from Main Water Heater in DEAP</t>
  </si>
  <si>
    <t>Type of DHW</t>
  </si>
  <si>
    <t>An Integral Hot Water Store forms part of the Heat Pump, refer to DEAP Heat Pump Methodology for guidance.</t>
  </si>
  <si>
    <t>Cold Water Inlet Temperature</t>
  </si>
  <si>
    <t>Based on DEAP Methodology</t>
  </si>
  <si>
    <t>Required Flow Temperature from Heat Pump to Hot Water Storage</t>
  </si>
  <si>
    <r>
      <t>Based on DEAP Methodology and guidelines for prevention of Legionella. Where the store is separate to the heat pump a 5</t>
    </r>
    <r>
      <rPr>
        <vertAlign val="superscript"/>
        <sz val="12"/>
        <rFont val="Calibri"/>
        <family val="2"/>
      </rPr>
      <t>o</t>
    </r>
    <r>
      <rPr>
        <sz val="12"/>
        <rFont val="Calibri"/>
        <family val="2"/>
      </rPr>
      <t>C drop is assumed.</t>
    </r>
  </si>
  <si>
    <t>Volume of DHW Storage</t>
  </si>
  <si>
    <t>Source from the Water Heating Tab, Storage in DEAP</t>
  </si>
  <si>
    <t>Is there a water heater installed as back up for the heat pump</t>
  </si>
  <si>
    <t>Back Up Water Heater Fuel</t>
  </si>
  <si>
    <t>Primary Energy Factor for Back Up Water Heater</t>
  </si>
  <si>
    <t>Efficiency of Back up Water Heater</t>
  </si>
  <si>
    <t>Adjusted Efficiency of Back up Water Heater relative to Direct Electric Heating</t>
  </si>
  <si>
    <t>Test Conditions EN 16147</t>
  </si>
  <si>
    <t>Source of data</t>
  </si>
  <si>
    <t>Water heating energy efficiency, ηwh</t>
  </si>
  <si>
    <t>Source from Ecodesign Data or accredited tests to EN 16147</t>
  </si>
  <si>
    <t xml:space="preserve">Equivalent Coefficient of Performance </t>
  </si>
  <si>
    <t>kW/kW</t>
  </si>
  <si>
    <t>Reference Hot Water Temperature</t>
  </si>
  <si>
    <r>
      <t>Source from Ecodesign Data or accredited tests to EN 16147, set at 40</t>
    </r>
    <r>
      <rPr>
        <vertAlign val="superscript"/>
        <sz val="12"/>
        <rFont val="Calibri"/>
        <family val="2"/>
      </rPr>
      <t>o</t>
    </r>
    <r>
      <rPr>
        <sz val="12"/>
        <rFont val="Calibri"/>
        <family val="2"/>
      </rPr>
      <t>C if unknown.</t>
    </r>
  </si>
  <si>
    <t>Required Source Temperature</t>
  </si>
  <si>
    <t>Based on Table 5 of EN 16147</t>
  </si>
  <si>
    <t>Capacity of Heat Pump</t>
  </si>
  <si>
    <t>kW</t>
  </si>
  <si>
    <t>Source from Ecodesign Data, manufacturers data or accredited tests to EN 16147</t>
  </si>
  <si>
    <t>Declared Load Profile</t>
  </si>
  <si>
    <t>Standby Heat Loss</t>
  </si>
  <si>
    <t>kWh/day</t>
  </si>
  <si>
    <t>Source from Ecodesign Data or accredited tests to EN 16147, set as 0 if unknown</t>
  </si>
  <si>
    <t>Volume of DHW accounted for in test</t>
  </si>
  <si>
    <t>litre</t>
  </si>
  <si>
    <t>Test Conditions EN 14511-2</t>
  </si>
  <si>
    <t>Is the Heat Pump Listed on HARP</t>
  </si>
  <si>
    <t>Enter SPF based on DEAP Methodology/ HARP</t>
  </si>
  <si>
    <t>Derive SPF from HARP, certified data COPs in compliance with DEAP methodology or from DEAP table 4a defaults</t>
  </si>
  <si>
    <t>Is there load or weather compensation present?</t>
  </si>
  <si>
    <t>Source from Designer/ Installer sign off sheet or site evidence</t>
  </si>
  <si>
    <t>Does the heat pump have an Integral Immersion</t>
  </si>
  <si>
    <t>Source from CE marked literature, CE marked dataplates or accredited test data for the heat pump in question.</t>
  </si>
  <si>
    <t>Test Conditions EN 255-3</t>
  </si>
  <si>
    <t>Coefficient of Performance</t>
  </si>
  <si>
    <t>Source from accredited test data certificate</t>
  </si>
  <si>
    <r>
      <t>Source from accredited test data certificate, set at 40</t>
    </r>
    <r>
      <rPr>
        <vertAlign val="superscript"/>
        <sz val="12"/>
        <rFont val="Calibri"/>
        <family val="2"/>
      </rPr>
      <t>o</t>
    </r>
    <r>
      <rPr>
        <sz val="12"/>
        <rFont val="Calibri"/>
        <family val="2"/>
      </rPr>
      <t>C if unknown.</t>
    </r>
  </si>
  <si>
    <t xml:space="preserve">Heating Capacity DHW </t>
  </si>
  <si>
    <t>Efficiency of Main Heating System</t>
  </si>
  <si>
    <t>Enter this in DEAP: energy requirements: space heating</t>
  </si>
  <si>
    <t>Efficiency Adjustment Factor - Main Heating</t>
  </si>
  <si>
    <t>Efficiency of Main Hot Water System</t>
  </si>
  <si>
    <t>Enter this in DEAP: energy requirements: water heating</t>
  </si>
  <si>
    <t>Efficiency Adjustment Factor - Main Hot Water</t>
  </si>
  <si>
    <t>EN 15316 methodology</t>
  </si>
  <si>
    <t>Bin 1</t>
  </si>
  <si>
    <t>Bin 2</t>
  </si>
  <si>
    <t>Bin 3</t>
  </si>
  <si>
    <t>Bin 4</t>
  </si>
  <si>
    <t>Bin 5</t>
  </si>
  <si>
    <t>Guidance Note</t>
  </si>
  <si>
    <t>Back Up Heating</t>
  </si>
  <si>
    <t>Bin Data</t>
  </si>
  <si>
    <t>I.S. EN 14825 Test Conditions</t>
  </si>
  <si>
    <t>(E) 100%</t>
  </si>
  <si>
    <t>(A) 88%</t>
  </si>
  <si>
    <t>(B) 54%</t>
  </si>
  <si>
    <t>(c) 35%</t>
  </si>
  <si>
    <t>(D)15%</t>
  </si>
  <si>
    <t>Operating Points (Bin Temperatures)</t>
  </si>
  <si>
    <t>Test Points</t>
  </si>
  <si>
    <t>Taken from IS EN 14825 standard</t>
  </si>
  <si>
    <t>TOL</t>
  </si>
  <si>
    <t>Outdoor temperature bin (deg C)</t>
  </si>
  <si>
    <t>Heating Weighting Factor…Eqt 4</t>
  </si>
  <si>
    <t>DHW Weighting Factor…Eqt 8</t>
  </si>
  <si>
    <t>Bin Time (h)</t>
  </si>
  <si>
    <t>Effective Bin Time (h)</t>
  </si>
  <si>
    <t>Energy to be produced for SH (kWh)</t>
  </si>
  <si>
    <t>Energy to be produced for DHW (kWh)</t>
  </si>
  <si>
    <t>Energy Required from Heat Pump (kWh)</t>
  </si>
  <si>
    <t>Supply Flow Temp oC…B1</t>
  </si>
  <si>
    <t>Heating Capacity kW…As per D12 and MCS Tool* (see below)</t>
  </si>
  <si>
    <t>Required Running Hours (hr) Eqt 28</t>
  </si>
  <si>
    <t>Diff between Required Running Hrs and Effective Bin..Eqt 40</t>
  </si>
  <si>
    <t>SAP Methodology Back Up Heater based on Plant Size Ratio</t>
  </si>
  <si>
    <t>Energy Required from back up (kWh)…Eqt 40</t>
  </si>
  <si>
    <t>Total Back Up Heater</t>
  </si>
  <si>
    <t>SAP Methodology - Table N9</t>
  </si>
  <si>
    <r>
      <t>Lower Limit (</t>
    </r>
    <r>
      <rPr>
        <vertAlign val="superscript"/>
        <sz val="10"/>
        <rFont val="Arial"/>
        <family val="2"/>
      </rPr>
      <t>o</t>
    </r>
    <r>
      <rPr>
        <sz val="10"/>
        <rFont val="Arial"/>
        <family val="2"/>
      </rPr>
      <t>C )</t>
    </r>
  </si>
  <si>
    <t>Mid Test Points</t>
  </si>
  <si>
    <t>For Bin 1, the Lower Limit is the Lowest Outdoor Temperature as per D.1.3.2.1</t>
  </si>
  <si>
    <t>Plant Size Ratio</t>
  </si>
  <si>
    <r>
      <t>Upper Limit, (</t>
    </r>
    <r>
      <rPr>
        <vertAlign val="superscript"/>
        <sz val="10"/>
        <rFont val="Arial"/>
        <family val="2"/>
      </rPr>
      <t>o</t>
    </r>
    <r>
      <rPr>
        <sz val="10"/>
        <rFont val="Arial"/>
        <family val="2"/>
      </rPr>
      <t>C )</t>
    </r>
  </si>
  <si>
    <t>For Bin 5, the Upper Limit is the Upper Outdoor Temperature as per D.1.3.2.1</t>
  </si>
  <si>
    <r>
      <t>Source Temperature (</t>
    </r>
    <r>
      <rPr>
        <vertAlign val="superscript"/>
        <sz val="10"/>
        <rFont val="Arial"/>
        <family val="2"/>
      </rPr>
      <t>o</t>
    </r>
    <r>
      <rPr>
        <sz val="10"/>
        <rFont val="Arial"/>
        <family val="2"/>
      </rPr>
      <t>C)</t>
    </r>
  </si>
  <si>
    <t>Weighting Factor SH</t>
  </si>
  <si>
    <t>Eqt 4</t>
  </si>
  <si>
    <t>Space Heating Energy (kWh)</t>
  </si>
  <si>
    <t>Eqt 5</t>
  </si>
  <si>
    <t>Eqt 6</t>
  </si>
  <si>
    <t>Eqt 7</t>
  </si>
  <si>
    <t>Weighting Factor DHW</t>
  </si>
  <si>
    <t>Eqt 8</t>
  </si>
  <si>
    <t>DHW Energy (kWh)</t>
  </si>
  <si>
    <t>Eqt 9</t>
  </si>
  <si>
    <t>Test Data</t>
  </si>
  <si>
    <r>
      <t>Low Temperature (</t>
    </r>
    <r>
      <rPr>
        <vertAlign val="superscript"/>
        <sz val="10"/>
        <rFont val="Arial"/>
        <family val="2"/>
      </rPr>
      <t>o</t>
    </r>
    <r>
      <rPr>
        <sz val="10"/>
        <rFont val="Arial"/>
        <family val="2"/>
      </rPr>
      <t>C )</t>
    </r>
  </si>
  <si>
    <t>Taken from EN 14825 test data</t>
  </si>
  <si>
    <r>
      <t>Medium Temperature (</t>
    </r>
    <r>
      <rPr>
        <vertAlign val="superscript"/>
        <sz val="10"/>
        <rFont val="Arial"/>
        <family val="2"/>
      </rPr>
      <t>o</t>
    </r>
    <r>
      <rPr>
        <sz val="10"/>
        <rFont val="Arial"/>
        <family val="2"/>
      </rPr>
      <t>C )</t>
    </r>
  </si>
  <si>
    <r>
      <t>High Temperature (</t>
    </r>
    <r>
      <rPr>
        <vertAlign val="superscript"/>
        <sz val="10"/>
        <rFont val="Arial"/>
        <family val="2"/>
      </rPr>
      <t>o</t>
    </r>
    <r>
      <rPr>
        <sz val="10"/>
        <rFont val="Arial"/>
        <family val="2"/>
      </rPr>
      <t>C )</t>
    </r>
  </si>
  <si>
    <r>
      <t>Very High Temperature (</t>
    </r>
    <r>
      <rPr>
        <vertAlign val="superscript"/>
        <sz val="10"/>
        <rFont val="Arial"/>
        <family val="2"/>
      </rPr>
      <t>o</t>
    </r>
    <r>
      <rPr>
        <sz val="10"/>
        <rFont val="Arial"/>
        <family val="2"/>
      </rPr>
      <t>C )</t>
    </r>
  </si>
  <si>
    <t>COP at sink temperature Low Temp (kW/kW)</t>
  </si>
  <si>
    <t>Taken from Input Sheet Low Temperature COP</t>
  </si>
  <si>
    <t>COP at sink temperature Medium Temp  (kW/kW)</t>
  </si>
  <si>
    <t>Taken from Input Sheet Medium Temperature COP</t>
  </si>
  <si>
    <t>COP at sink temperature High Temp  (kW/kW)</t>
  </si>
  <si>
    <t>Taken from Input Sheet High Temperature COP</t>
  </si>
  <si>
    <t>COP at sink temperature Very High Temp  (kW/kW)</t>
  </si>
  <si>
    <t>Taken from Input Sheet Very Temperature COP</t>
  </si>
  <si>
    <t>Heating Capacity at Low Temp (kW)</t>
  </si>
  <si>
    <t>Taken from Input Sheet Low Temperature Capacity</t>
  </si>
  <si>
    <t>Heating Capacity at Medium Temp (kW)</t>
  </si>
  <si>
    <t>Taken from Input Sheet Medium Temperature Capacity</t>
  </si>
  <si>
    <t>Heating Capacity at High Temp (kW)</t>
  </si>
  <si>
    <t>Taken from Input Sheet High Temperature Capacity</t>
  </si>
  <si>
    <t>Heating Capacity at Very High Temp (kW)</t>
  </si>
  <si>
    <t>Taken from Input Sheet Very Temperature Capacity</t>
  </si>
  <si>
    <t>Appropriate Test Data</t>
  </si>
  <si>
    <t>Lower Test Points</t>
  </si>
  <si>
    <t>Higher Test Points</t>
  </si>
  <si>
    <t>To Air Heat Pump</t>
  </si>
  <si>
    <r>
      <t>Lower Test Points - Temperature (</t>
    </r>
    <r>
      <rPr>
        <vertAlign val="superscript"/>
        <sz val="10"/>
        <rFont val="Arial"/>
        <family val="2"/>
      </rPr>
      <t>o</t>
    </r>
    <r>
      <rPr>
        <sz val="10"/>
        <rFont val="Arial"/>
        <family val="2"/>
      </rPr>
      <t>C)</t>
    </r>
  </si>
  <si>
    <r>
      <t>Higher Test Points - Temperature (</t>
    </r>
    <r>
      <rPr>
        <vertAlign val="superscript"/>
        <sz val="10"/>
        <rFont val="Arial"/>
        <family val="2"/>
      </rPr>
      <t>o</t>
    </r>
    <r>
      <rPr>
        <sz val="10"/>
        <rFont val="Arial"/>
        <family val="2"/>
      </rPr>
      <t>C )</t>
    </r>
  </si>
  <si>
    <t>Lower Test Points - COP (kWh/kWh)</t>
  </si>
  <si>
    <t>Higher Test Points - COP (kWh/kWh)</t>
  </si>
  <si>
    <t>Lower Test Points - Heating Capacity (kW)</t>
  </si>
  <si>
    <t>Higher Test Points - Heating Capacity (kW)</t>
  </si>
  <si>
    <t>* Interpolation equation as per EN 15316, however using same methodology as MCS tool as single point data may ony be available</t>
  </si>
  <si>
    <t>Supply Flow Temperature based on Single Test Points</t>
  </si>
  <si>
    <t>Equation B1 - Based on 55oC only</t>
  </si>
  <si>
    <t>Supply Flow Temperature based on 55oC, to meet the mandatory test points in Ecodesign, to use for single test point data</t>
  </si>
  <si>
    <t>Source Temperature</t>
  </si>
  <si>
    <t>Section F2.1</t>
  </si>
  <si>
    <t>Supply Flow Temperature</t>
  </si>
  <si>
    <t>Equation B1</t>
  </si>
  <si>
    <t>Heating Capacity for Source Temp</t>
  </si>
  <si>
    <t>Section 5.3.5.1.3</t>
  </si>
  <si>
    <t>Not applicable, for water and exhaust heat pumps the source temperature is constant, for air heat pumps we have test data at various conditions and for brine heat pumps as we don't have different source temperatures it is not possible to carry out interpolation.</t>
  </si>
  <si>
    <t>Heating Capacity for Supply Temp</t>
  </si>
  <si>
    <t>Linear Interpolation (5.3.5.1.3) (Eqt D12)</t>
  </si>
  <si>
    <t>Refer to Heating Capacity calculated for each external temperature as per Column W. Note: As per Annex D, heating capacity cannot be adjusted for single test points</t>
  </si>
  <si>
    <t>Standard Rating Conditions</t>
  </si>
  <si>
    <t>Based on EN 14511</t>
  </si>
  <si>
    <t>In EN 14825, the water flow rate is determined according to EN 14511 at standard rating conditions.</t>
  </si>
  <si>
    <t>Mass Flow Rate</t>
  </si>
  <si>
    <t>kg/s, Equation 10</t>
  </si>
  <si>
    <t>5K is based on EN14511 for electrically driven heat pumps, 4.182 kJ/kg/K is the specific heat capacity of water.</t>
  </si>
  <si>
    <t>Temp Spread at Lower Temp</t>
  </si>
  <si>
    <t>oC, Equation 10</t>
  </si>
  <si>
    <t>Temp Spread at Higher Temp</t>
  </si>
  <si>
    <t>Required Heating Capacity at design conditions</t>
  </si>
  <si>
    <t>Taken from DEAP</t>
  </si>
  <si>
    <t>PSR</t>
  </si>
  <si>
    <t>Delta T for emitter</t>
  </si>
  <si>
    <t>Taken from Input</t>
  </si>
  <si>
    <t>Required Mass flow at design conditions</t>
  </si>
  <si>
    <t>Temp Spread at Lower Temp Test Points at design conditions</t>
  </si>
  <si>
    <t>Temp Spread at Higher Temp Test Points at design conditions</t>
  </si>
  <si>
    <t>Correction Factor COP Lower Temp Test Points</t>
  </si>
  <si>
    <t>eqt 11</t>
  </si>
  <si>
    <t>Correction Factor COP Higher Temp Test Points</t>
  </si>
  <si>
    <t>COP corrected for Lower Temp</t>
  </si>
  <si>
    <t>COP corrected for Higher Temp</t>
  </si>
  <si>
    <t>Interpolation of COP</t>
  </si>
  <si>
    <t>Linear Interpolation (5.3.5.1.3), refer to Eqt D11
Single Point eqt C5/C6</t>
  </si>
  <si>
    <t>For Single set of test points, the COP is based on adjustment in Annex C and is based on Supply Temp of 55oC, to meet the mandatory test results for Ecodesign. As outlined in Annex C, accuracy deteriorates with increasing distance from test points therefore methodology not used for Fixed Outlet</t>
  </si>
  <si>
    <t>Storage Losses</t>
  </si>
  <si>
    <t>Buffer Vessels for space heating only excluded, as per other systems in DEAP</t>
  </si>
  <si>
    <t>Space Heating Energy Requirement</t>
  </si>
  <si>
    <t>Energy to be produced by back up heater for Space Heating only</t>
  </si>
  <si>
    <t>Energy Provided by Backup Space Heater for Space Heating Only</t>
  </si>
  <si>
    <t>For non electric back up heaters this has been converted to equivalent electric energy using Bivalent system</t>
  </si>
  <si>
    <t>Back Up for Temperature Increase not included as test data for higher temperatures must be provided.</t>
  </si>
  <si>
    <t>Auxiliary Energy for central heating pumps &amp; DHW pumps excluded as allowed for in DEAP</t>
  </si>
  <si>
    <t>Recoverable heat from auxiliary energy (pumps) and thermal losses (storage) excluded as allowed for in DEAP</t>
  </si>
  <si>
    <t>Electrical Energy for Space Heating from heat pump</t>
  </si>
  <si>
    <t>Total Electrical Energy Required</t>
  </si>
  <si>
    <t>SPF - Heat Pump &amp; Back up Heater</t>
  </si>
  <si>
    <t>Renewable Contribution calculated in DEAP</t>
  </si>
  <si>
    <t>Space Heating Provided by Heat Pump</t>
  </si>
  <si>
    <t>SPF - Heat Pump only</t>
  </si>
  <si>
    <t>Renewable Contribution provided by Heat Pump</t>
  </si>
  <si>
    <t>% Renewable</t>
  </si>
  <si>
    <t>Renewable Contribution from Exhaust Air Heat Pump</t>
  </si>
  <si>
    <t xml:space="preserve">kWh </t>
  </si>
  <si>
    <t>From Ecodesign / 814</t>
  </si>
  <si>
    <t>EN 16147</t>
  </si>
  <si>
    <t>Tapping Cycle</t>
  </si>
  <si>
    <t>Test Check</t>
  </si>
  <si>
    <t>Installed Check</t>
  </si>
  <si>
    <t>Error - Test</t>
  </si>
  <si>
    <t>Error - Dwelling</t>
  </si>
  <si>
    <t>Volume of Tank in Test</t>
  </si>
  <si>
    <t>based on test data</t>
  </si>
  <si>
    <t>Average Storage Temperature</t>
  </si>
  <si>
    <t>oC</t>
  </si>
  <si>
    <t>Standby Heat loss</t>
  </si>
  <si>
    <t>Min Volume for cycle</t>
  </si>
  <si>
    <t>DHW Demand based on Cycle</t>
  </si>
  <si>
    <t>based on default for Cycle</t>
  </si>
  <si>
    <t>COP based on EN 16147</t>
  </si>
  <si>
    <t>Efficiency for DEAP</t>
  </si>
  <si>
    <t>based on equation from SAP 2009 &amp; 2012 - Calculation Methodology for electrically driven heat pumps, converting 15316-4-2:2008 SPF to SAP SPF</t>
  </si>
  <si>
    <t>Reference Temperature</t>
  </si>
  <si>
    <r>
      <rPr>
        <vertAlign val="superscript"/>
        <sz val="10"/>
        <rFont val="Arial"/>
        <family val="2"/>
      </rPr>
      <t>o</t>
    </r>
    <r>
      <rPr>
        <sz val="10"/>
        <rFont val="Arial"/>
        <family val="2"/>
      </rPr>
      <t>C</t>
    </r>
  </si>
  <si>
    <t>Temperature of DHW</t>
  </si>
  <si>
    <t>Temperature of Cold Water Inlet</t>
  </si>
  <si>
    <t>WARNING: The Test Storage Volume does not meet requirements in Ecodesign Directive, the assessor must contact the manufacturer to advise that test volume is not appropriate for the declared load profile and request revised test results.</t>
  </si>
  <si>
    <t>WARNING: The test data is not appropriate for the installation within the dwelling, the assessor must contact the client/ designer and installer, advising that the installed hot water cylinder is not appropriate for the Ecodesign Directive efficiency data and therefore the heat pump will not perform to the same efficiency.</t>
  </si>
  <si>
    <t>Fraction of Demand met by backup energy to meet temperature shortfall</t>
  </si>
  <si>
    <t>based on eqt 18 from EN 15316</t>
  </si>
  <si>
    <t>DHW Demand for Dwelling</t>
  </si>
  <si>
    <t>Required Running Hours</t>
  </si>
  <si>
    <t>Effective Bin Time</t>
  </si>
  <si>
    <t>based on eqt 7 from EN 15316</t>
  </si>
  <si>
    <t>Difference between Req and Effective</t>
  </si>
  <si>
    <t>Fraction of Demand met by backup to meet operation hours shortfall</t>
  </si>
  <si>
    <t>Heat Pump Electricity</t>
  </si>
  <si>
    <t>Back Up Heater due to temperature shortfall</t>
  </si>
  <si>
    <t>Efficiency of Back up Water Heater adjusted relative to Direct Electric Heating</t>
  </si>
  <si>
    <t>Back Up Heater due to operation shortfall</t>
  </si>
  <si>
    <t>Total Electricity Required for Water Heating</t>
  </si>
  <si>
    <t>SPF</t>
  </si>
  <si>
    <t>Hot Water Provided by Heat Pump</t>
  </si>
  <si>
    <t>EN 255-3</t>
  </si>
  <si>
    <t>COP based on EN 255</t>
  </si>
  <si>
    <t>Fraction of Backup energy due to temperature shortfall</t>
  </si>
  <si>
    <t>Electricity required by Heat Pump</t>
  </si>
  <si>
    <t>Electricity required by Back Up Heater</t>
  </si>
  <si>
    <t>SPF - Heat Pump Only</t>
  </si>
  <si>
    <t>EN 14511</t>
  </si>
  <si>
    <t>COP based on EN 14511</t>
  </si>
  <si>
    <t xml:space="preserve">  </t>
  </si>
  <si>
    <t>Design Temperature</t>
  </si>
  <si>
    <t>DHW Energy kWh</t>
  </si>
  <si>
    <t>Taken as 16 based on EN14825</t>
  </si>
  <si>
    <r>
      <t xml:space="preserve">Name IRL_Dublin_IWEC2.epw
Description IWEC2- ASHRAE
Latitude 53.43000031
Longitude -6.25
Time Zone -0.419999987
</t>
    </r>
    <r>
      <rPr>
        <b/>
        <sz val="11"/>
        <color indexed="8"/>
        <rFont val="Calibri"/>
        <family val="2"/>
      </rPr>
      <t>Year 2000</t>
    </r>
    <r>
      <rPr>
        <sz val="10"/>
        <rFont val="Arial"/>
        <family val="2"/>
      </rPr>
      <t xml:space="preserve">
Ground Source Temperature 11.97182465
Altitude 0
Number of hours per bin</t>
    </r>
  </si>
  <si>
    <t>Cumulative Hrs</t>
  </si>
  <si>
    <t>Heating Degree Hrs</t>
  </si>
  <si>
    <t>Cumulative heating Degree Hrs</t>
  </si>
  <si>
    <t>This blank worksheet may be used for supporting calculations if desired</t>
  </si>
  <si>
    <t>Hot Water Usage in litres per day for  Mixer Showers</t>
  </si>
  <si>
    <t>Hot Water Usage in litres per day for Baths</t>
  </si>
  <si>
    <t>Energy Content of hot water used</t>
  </si>
  <si>
    <t>% Renewable Contribution from Exhaust Heat Pump for Space Heating</t>
  </si>
  <si>
    <t>% Renewable Contribution from Exhaust Heat Pump for Water Heating</t>
  </si>
  <si>
    <t>% renewables</t>
  </si>
  <si>
    <t>Heat Pump as water heating system</t>
  </si>
  <si>
    <t>Group heating - System 3</t>
  </si>
  <si>
    <t>Group heating - System 4</t>
  </si>
  <si>
    <t xml:space="preserve">Aligned to DEAP software version 3.2 </t>
  </si>
  <si>
    <t>plus inclusion of Part L 2019 requirements, incorporating NZEB</t>
  </si>
  <si>
    <t>Energy Profile for RER calculation 2019 TGD L</t>
  </si>
  <si>
    <t>Conformity with Renewable Energy Technologies requirement in TGD L</t>
  </si>
  <si>
    <t>Renewable energy technologies in dwelling</t>
  </si>
  <si>
    <t>Present?</t>
  </si>
  <si>
    <t>Contribution</t>
  </si>
  <si>
    <t>Contribution type</t>
  </si>
  <si>
    <t>(yes=1, no=0)</t>
  </si>
  <si>
    <t>(thermal=1, electrical=2)</t>
  </si>
  <si>
    <t>Solar water heating system</t>
  </si>
  <si>
    <t>Heat pump as main space heating system</t>
  </si>
  <si>
    <t>Heat pump as secondary space heating system</t>
  </si>
  <si>
    <t>Heat pump as main water heating system</t>
  </si>
  <si>
    <t>Wood/biomass/biodiesel/bioethanol heater as main space heating system</t>
  </si>
  <si>
    <t>Wood/biomass/biodiesel/bioethanol heater as secondary space heating system</t>
  </si>
  <si>
    <t>Wood/biomass/biodiesel/bioethanol heater as main water heating system</t>
  </si>
  <si>
    <t>Total thermal</t>
  </si>
  <si>
    <t>Total electrical</t>
  </si>
  <si>
    <t>Overall total expressed as equivalent thermal</t>
  </si>
  <si>
    <t>Compliance</t>
  </si>
  <si>
    <r>
      <t xml:space="preserve">Conformity with Renewable Energy Technologies requirement in TGD L </t>
    </r>
    <r>
      <rPr>
        <sz val="10"/>
        <rFont val="Arial"/>
        <family val="2"/>
      </rPr>
      <t>(Section 1.2)</t>
    </r>
  </si>
  <si>
    <r>
      <t>Renewable Energy Technologies</t>
    </r>
    <r>
      <rPr>
        <sz val="10"/>
        <rFont val="Arial"/>
        <family val="2"/>
      </rPr>
      <t xml:space="preserve"> (TGD L Section 1.2)</t>
    </r>
  </si>
  <si>
    <t>Group heating - Heat pump</t>
  </si>
  <si>
    <t>Wood/biomass/bioethanol/biodiesel heater as secondary space heating system</t>
  </si>
  <si>
    <t>Individual solar water heating system</t>
  </si>
  <si>
    <t xml:space="preserve">SAP 10 Table J1: Cold Water Temperatures </t>
  </si>
  <si>
    <t>Is measured "PCDB" data available?</t>
  </si>
  <si>
    <t>% of Heating Provided by Heat Pump</t>
  </si>
  <si>
    <t>% of Hot Water Provided by Heat Pump</t>
  </si>
  <si>
    <t>Water Heating Provided by Heat Pump</t>
  </si>
  <si>
    <t>Efficiency of Space Heat Pump</t>
  </si>
  <si>
    <t>Efficiency of Water Heat Pump</t>
  </si>
  <si>
    <t>SWH</t>
  </si>
  <si>
    <t>Summer</t>
  </si>
  <si>
    <t>Renewable Energy Ratio calculation</t>
  </si>
  <si>
    <t>Enter Electricity CO2 and Primary Energy Factors</t>
  </si>
  <si>
    <t>Enter the aperture area, zero loss collector efficiency, collector heat loss coefficient, annual radiation, overshading factor and dedicated solar storage data</t>
  </si>
  <si>
    <t>Solar Domestic Hot Water input</t>
  </si>
  <si>
    <t>Enter air change rate and summer external temperature</t>
  </si>
  <si>
    <t>Threshold Internal Temperature</t>
  </si>
  <si>
    <t>Enter Manufacturer, model, test standard, test data of heat pumps, run hours and design flow temperature of heat pumps</t>
  </si>
  <si>
    <t xml:space="preserve">Efficiency of Space Heating Heat Pump, Water Heatining Heat Pump, Renewable Contribution </t>
  </si>
  <si>
    <t>Heating Calc</t>
  </si>
  <si>
    <t>DHW Calc</t>
  </si>
  <si>
    <t>Space Heating calculations for Heat Pump</t>
  </si>
  <si>
    <t>Water Heating calculations for Heat Pump</t>
  </si>
  <si>
    <t>Meteorological Data</t>
  </si>
  <si>
    <t>Bin data for heat pump calculation</t>
  </si>
  <si>
    <t>RER for use in Building Regulation Compliance</t>
  </si>
  <si>
    <t>Is water use target (hot and cold) ≤ 125 l/p/d</t>
  </si>
  <si>
    <t>Max permitted</t>
  </si>
  <si>
    <t xml:space="preserve">Check conformity with MPEPC and MPCPC requirements in TGD L </t>
  </si>
  <si>
    <r>
      <t>Building Energy Rating [kWh/m</t>
    </r>
    <r>
      <rPr>
        <vertAlign val="superscript"/>
        <sz val="10"/>
        <rFont val="Arial"/>
        <family val="2"/>
      </rPr>
      <t>2</t>
    </r>
    <r>
      <rPr>
        <sz val="10"/>
        <rFont val="Arial"/>
        <family val="2"/>
      </rPr>
      <t xml:space="preserve"> y]</t>
    </r>
  </si>
  <si>
    <t>Energy consumed</t>
  </si>
  <si>
    <t>factor [-]</t>
  </si>
  <si>
    <t>Delivered</t>
  </si>
  <si>
    <t>(If the fraction of heat from CHP/waste heat is zero, this section is irrelevant).</t>
  </si>
  <si>
    <t>heat [%]</t>
  </si>
  <si>
    <t>Percent of</t>
  </si>
  <si>
    <t>(If the fraction of heat from boilers is zero, this section is irrelevant).</t>
  </si>
  <si>
    <t>Generation efficiency of secondary / supplementary heating system [%] (use value from Table 4a or Appendix E)</t>
  </si>
  <si>
    <t>Fraction of heat use from secondary / supplementary system (use value from Table 7, Table 10 or Appendix F)</t>
  </si>
  <si>
    <t>Secondary space heating</t>
  </si>
  <si>
    <t>Efficiency of secondary / supplementary heater(s) [%] (from Table 4a or Appendix E)</t>
  </si>
  <si>
    <t>Type of main heating system</t>
  </si>
  <si>
    <r>
      <t>If yes, U-value of envelope element [W/m</t>
    </r>
    <r>
      <rPr>
        <vertAlign val="superscript"/>
        <sz val="10"/>
        <rFont val="Arial"/>
        <family val="2"/>
      </rPr>
      <t>2</t>
    </r>
    <r>
      <rPr>
        <sz val="10"/>
        <rFont val="Arial"/>
        <family val="2"/>
      </rPr>
      <t xml:space="preserve"> K]</t>
    </r>
  </si>
  <si>
    <t>Is main heat emission system within an envelope element? (e.g. underfloor heating in ground floor)</t>
  </si>
  <si>
    <t>Is there a warm air heating system present?</t>
  </si>
  <si>
    <t>by room thermostat?</t>
  </si>
  <si>
    <t>is boiler controlled</t>
  </si>
  <si>
    <t>Heat gains from water heating system [W]</t>
  </si>
  <si>
    <t>Is supplementary electric immersion heating is used in summer?</t>
  </si>
  <si>
    <t>If no</t>
  </si>
  <si>
    <r>
      <t>Heat loss parameter, HLP [W/K m</t>
    </r>
    <r>
      <rPr>
        <i/>
        <vertAlign val="superscript"/>
        <sz val="10"/>
        <rFont val="Arial"/>
        <family val="2"/>
      </rPr>
      <t>2</t>
    </r>
    <r>
      <rPr>
        <i/>
        <sz val="10"/>
        <rFont val="Arial"/>
        <family val="2"/>
      </rPr>
      <t>]</t>
    </r>
  </si>
  <si>
    <t>Dwelling heat loss coefficient [W/K]</t>
  </si>
  <si>
    <r>
      <t>Factor for thermal bridging [W/m</t>
    </r>
    <r>
      <rPr>
        <vertAlign val="superscript"/>
        <sz val="10"/>
        <rFont val="Arial"/>
        <family val="2"/>
      </rPr>
      <t>2</t>
    </r>
    <r>
      <rPr>
        <sz val="10"/>
        <rFont val="Arial"/>
        <family val="2"/>
      </rPr>
      <t xml:space="preserve"> K]</t>
    </r>
  </si>
  <si>
    <r>
      <t>Total area of elements [m</t>
    </r>
    <r>
      <rPr>
        <i/>
        <vertAlign val="superscript"/>
        <sz val="10"/>
        <rFont val="Arial"/>
        <family val="2"/>
      </rPr>
      <t>2</t>
    </r>
    <r>
      <rPr>
        <i/>
        <sz val="10"/>
        <rFont val="Arial"/>
        <family val="2"/>
      </rPr>
      <t>]</t>
    </r>
  </si>
  <si>
    <t>Window type ID</t>
  </si>
  <si>
    <t>Overshading ID</t>
  </si>
  <si>
    <t>Correction for roof window and/or metal frame if applicable (Table 6a, notes 1 and 2).</t>
  </si>
  <si>
    <t>Windows</t>
  </si>
  <si>
    <t>For mechanical ventilation, other than positive input ventilation from loft:</t>
  </si>
  <si>
    <t>Air permeability [m3/h.m2 at 50 Pa]</t>
  </si>
  <si>
    <t>Number of flueless gas fires</t>
  </si>
  <si>
    <r>
      <t>Living area [m</t>
    </r>
    <r>
      <rPr>
        <vertAlign val="superscript"/>
        <sz val="10"/>
        <rFont val="Arial"/>
        <family val="2"/>
      </rPr>
      <t>2</t>
    </r>
    <r>
      <rPr>
        <sz val="10"/>
        <rFont val="Arial"/>
        <family val="2"/>
      </rPr>
      <t>]</t>
    </r>
  </si>
  <si>
    <r>
      <t>Dwelling volume [m</t>
    </r>
    <r>
      <rPr>
        <i/>
        <vertAlign val="superscript"/>
        <sz val="10"/>
        <rFont val="Arial"/>
        <family val="2"/>
      </rPr>
      <t>3</t>
    </r>
    <r>
      <rPr>
        <i/>
        <sz val="10"/>
        <rFont val="Arial"/>
        <family val="2"/>
      </rPr>
      <t>]</t>
    </r>
  </si>
  <si>
    <r>
      <t>Total floor area [m</t>
    </r>
    <r>
      <rPr>
        <i/>
        <vertAlign val="superscript"/>
        <sz val="10"/>
        <rFont val="Arial"/>
        <family val="2"/>
      </rPr>
      <t>2</t>
    </r>
    <r>
      <rPr>
        <i/>
        <sz val="10"/>
        <rFont val="Arial"/>
        <family val="2"/>
      </rPr>
      <t>]</t>
    </r>
  </si>
  <si>
    <t>Ground floor</t>
  </si>
  <si>
    <t>Height [m]</t>
  </si>
  <si>
    <t>TGD L version</t>
  </si>
  <si>
    <t>Dwelling dimensions</t>
  </si>
  <si>
    <t>Print out 'Proj' worksheet separately if required.</t>
  </si>
  <si>
    <t>Details not applicable for this dwelling are grayed out.</t>
  </si>
  <si>
    <r>
      <t xml:space="preserve">Inputs and results, with selected intermediate results shown in </t>
    </r>
    <r>
      <rPr>
        <i/>
        <sz val="10"/>
        <rFont val="Arial"/>
        <family val="2"/>
      </rPr>
      <t>italics</t>
    </r>
  </si>
  <si>
    <t xml:space="preserve">DEAP Workbook: </t>
  </si>
  <si>
    <t>DEAP Report</t>
  </si>
  <si>
    <t>Efficiency of main heating system [%] (including Efficiency Adjustment Factor)</t>
  </si>
  <si>
    <t>If Waste Heat</t>
  </si>
  <si>
    <t>CO2 Emission Factor</t>
  </si>
  <si>
    <t>Photovoltaics/ Wind Turbine</t>
  </si>
  <si>
    <t>kWh/y</t>
  </si>
  <si>
    <t>Solar Thermal</t>
  </si>
  <si>
    <t>Description:</t>
  </si>
  <si>
    <t>Value:</t>
  </si>
  <si>
    <t>Unit:</t>
  </si>
  <si>
    <t>Guidance Notes:</t>
  </si>
  <si>
    <t>Heat Pump for Water Heating</t>
  </si>
  <si>
    <t xml:space="preserve">Air Tightness Test Reference Number </t>
  </si>
  <si>
    <t>Code for Space Heating/ DHW</t>
  </si>
  <si>
    <t>Space Heating served by HP</t>
  </si>
  <si>
    <t>Hot Water served by HP</t>
  </si>
  <si>
    <t>Heat Pump Present</t>
  </si>
  <si>
    <t>Describe the water heating heat pump arrangement</t>
  </si>
  <si>
    <t>Same Heat Pump providing Space Heating and Domestic Hot Water</t>
  </si>
  <si>
    <t>Separate Heat Pump providing Space Heating and Domestic Hot Water</t>
  </si>
  <si>
    <t>Same HP for Space and Water Heating</t>
  </si>
  <si>
    <t>Air permeability test in m3/hr/m2 (q50). Follow TGD L guidance.</t>
  </si>
  <si>
    <r>
      <t>m</t>
    </r>
    <r>
      <rPr>
        <vertAlign val="superscript"/>
        <sz val="10"/>
        <rFont val="Arial"/>
        <family val="2"/>
      </rPr>
      <t>3</t>
    </r>
    <r>
      <rPr>
        <sz val="10"/>
        <rFont val="Arial"/>
        <family val="2"/>
      </rPr>
      <t>/h/m</t>
    </r>
    <r>
      <rPr>
        <vertAlign val="superscript"/>
        <sz val="10"/>
        <rFont val="Arial"/>
        <family val="2"/>
      </rPr>
      <t>2</t>
    </r>
  </si>
  <si>
    <t>ach</t>
  </si>
  <si>
    <t>If "Exhaust Air Heat Pump" what is the Exhaust Air Flow Rate</t>
  </si>
  <si>
    <t>CHP or District Heating</t>
  </si>
  <si>
    <t>If the fraction of heat from CHP/District Heating is zero, this section is irrelevant.</t>
  </si>
  <si>
    <t>If District Heating</t>
  </si>
  <si>
    <t>Factors for District Heating</t>
  </si>
  <si>
    <t>Factors for heat delivered to dwelling from CHP/District Heating</t>
  </si>
  <si>
    <t>Calculation workbook Version 4.2 v1.2</t>
  </si>
  <si>
    <t>Rev 1.2</t>
  </si>
  <si>
    <t>Correction in Group Heating PV calculation</t>
  </si>
  <si>
    <t>Rev 1.1</t>
  </si>
  <si>
    <t>Correction in Renewable Energy Ratio Calculation for Group Schemes and Heat Pumps tested to EN14511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</si>
</sst>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000"/>
    <numFmt numFmtId="166" formatCode="0.000"/>
    <numFmt numFmtId="167" formatCode="0.0E+00"/>
    <numFmt numFmtId="168" formatCode="#,##0.0"/>
    <numFmt numFmtId="169" formatCode="0.00000"/>
    <numFmt numFmtId="170" formatCode="0.0%"/>
    <numFmt numFmtId="171" formatCode="_-* #,##0_-;\-* #,##0_-;_-* &quot;-&quot;??_-;_-@_-"/>
  </numFmts>
  <fonts count="81">
    <font>
      <sz val="10"/>
      <name val="Arial"/>
    </font>
    <font>
      <sz val="10"/>
      <name val="Arial"/>
      <family val="2"/>
    </font>
    <font>
      <sz val="10"/>
      <name val="MS Sans Serif"/>
      <family val="2"/>
    </font>
    <font>
      <b/>
      <sz val="10"/>
      <name val="MS Sans Serif"/>
      <family val="2"/>
    </font>
    <font>
      <sz val="10"/>
      <name val="MS Sans Serif"/>
      <family val="2"/>
    </font>
    <font>
      <sz val="10"/>
      <name val="Arial"/>
      <family val="2"/>
    </font>
    <font>
      <b/>
      <sz val="10"/>
      <name val="Arial"/>
      <family val="2"/>
    </font>
    <font>
      <i/>
      <sz val="10"/>
      <name val="Arial"/>
      <family val="2"/>
    </font>
    <font>
      <b/>
      <i/>
      <sz val="10"/>
      <name val="Arial"/>
      <family val="2"/>
    </font>
    <font>
      <b/>
      <sz val="12"/>
      <name val="Arial"/>
      <family val="2"/>
    </font>
    <font>
      <sz val="8"/>
      <name val="Arial"/>
      <family val="2"/>
    </font>
    <font>
      <b/>
      <sz val="14"/>
      <color indexed="21"/>
      <name val="Myriad Pro"/>
      <family val="2"/>
    </font>
    <font>
      <sz val="8"/>
      <color indexed="81"/>
      <name val="Tahoma"/>
      <family val="2"/>
    </font>
    <font>
      <sz val="10"/>
      <color indexed="55"/>
      <name val="Arial"/>
      <family val="2"/>
    </font>
    <font>
      <vertAlign val="superscript"/>
      <sz val="10"/>
      <name val="Arial"/>
      <family val="2"/>
    </font>
    <font>
      <b/>
      <u/>
      <sz val="10"/>
      <name val="Myriad Pro"/>
      <family val="2"/>
    </font>
    <font>
      <sz val="10"/>
      <name val="Myriad Pro"/>
      <family val="2"/>
    </font>
    <font>
      <vertAlign val="subscript"/>
      <sz val="10"/>
      <name val="Myriad Pro"/>
      <family val="2"/>
    </font>
    <font>
      <sz val="9"/>
      <name val="Arial"/>
      <family val="2"/>
    </font>
    <font>
      <b/>
      <sz val="12"/>
      <name val="Myriad Pro"/>
      <family val="2"/>
    </font>
    <font>
      <u/>
      <sz val="10"/>
      <name val="Myriad Pro"/>
      <family val="2"/>
    </font>
    <font>
      <vertAlign val="subscript"/>
      <sz val="10"/>
      <name val="MS Sans Serif"/>
      <family val="2"/>
    </font>
    <font>
      <vertAlign val="subscript"/>
      <sz val="9"/>
      <name val="Arial"/>
      <family val="2"/>
    </font>
    <font>
      <vertAlign val="subscript"/>
      <sz val="10"/>
      <name val="Arial"/>
      <family val="2"/>
    </font>
    <font>
      <i/>
      <sz val="9"/>
      <name val="Arial"/>
      <family val="2"/>
    </font>
    <font>
      <sz val="8.5"/>
      <name val="MS Sans Serif"/>
      <family val="2"/>
    </font>
    <font>
      <b/>
      <sz val="9"/>
      <color indexed="81"/>
      <name val="Tahoma"/>
      <family val="2"/>
    </font>
    <font>
      <sz val="9"/>
      <color indexed="81"/>
      <name val="Tahoma"/>
      <family val="2"/>
    </font>
    <font>
      <sz val="10"/>
      <color theme="4" tint="-0.249977111117893"/>
      <name val="Arial"/>
      <family val="2"/>
    </font>
    <font>
      <b/>
      <sz val="12"/>
      <color theme="4" tint="-0.249977111117893"/>
      <name val="Myriad Pro"/>
      <family val="2"/>
    </font>
    <font>
      <b/>
      <sz val="20"/>
      <color theme="4" tint="-0.249977111117893"/>
      <name val="Myriad Pro"/>
      <family val="2"/>
    </font>
    <font>
      <sz val="11"/>
      <color theme="4" tint="-0.249977111117893"/>
      <name val="Arial"/>
      <family val="2"/>
    </font>
    <font>
      <sz val="12"/>
      <color theme="4" tint="-0.249977111117893"/>
      <name val="Arial"/>
      <family val="2"/>
    </font>
    <font>
      <b/>
      <sz val="14"/>
      <color theme="4" tint="-0.249977111117893"/>
      <name val="Myriad Pro"/>
      <family val="2"/>
    </font>
    <font>
      <b/>
      <sz val="11"/>
      <color theme="4" tint="-0.249977111117893"/>
      <name val="Myriad Pro"/>
      <family val="2"/>
    </font>
    <font>
      <sz val="10"/>
      <color rgb="FFFF0000"/>
      <name val="Arial"/>
      <family val="2"/>
    </font>
    <font>
      <sz val="10"/>
      <color theme="0" tint="-0.249977111117893"/>
      <name val="Arial"/>
      <family val="2"/>
    </font>
    <font>
      <sz val="10"/>
      <name val="Arial"/>
      <family val="2"/>
    </font>
    <font>
      <sz val="12"/>
      <name val="Calibri"/>
      <family val="2"/>
    </font>
    <font>
      <sz val="12"/>
      <color indexed="8"/>
      <name val="Calibri"/>
      <family val="2"/>
    </font>
    <font>
      <b/>
      <sz val="12"/>
      <name val="Calibri"/>
      <family val="2"/>
    </font>
    <font>
      <b/>
      <sz val="11"/>
      <color rgb="FFFF0000"/>
      <name val="Calibri"/>
      <family val="2"/>
      <scheme val="minor"/>
    </font>
    <font>
      <b/>
      <sz val="9"/>
      <color rgb="FFFF0000"/>
      <name val="Calibri"/>
      <family val="2"/>
      <scheme val="minor"/>
    </font>
    <font>
      <b/>
      <sz val="11"/>
      <color rgb="FF00B050"/>
      <name val="Calibri"/>
      <family val="2"/>
      <scheme val="minor"/>
    </font>
    <font>
      <b/>
      <sz val="9"/>
      <color rgb="FF00B050"/>
      <name val="Calibri"/>
      <family val="2"/>
      <scheme val="minor"/>
    </font>
    <font>
      <b/>
      <sz val="11"/>
      <name val="Calibri"/>
      <family val="2"/>
      <scheme val="minor"/>
    </font>
    <font>
      <b/>
      <sz val="9"/>
      <name val="Calibri"/>
      <family val="2"/>
      <scheme val="minor"/>
    </font>
    <font>
      <sz val="10"/>
      <name val="Calibri"/>
      <family val="2"/>
    </font>
    <font>
      <sz val="14"/>
      <name val="Calibri"/>
      <family val="2"/>
    </font>
    <font>
      <sz val="16"/>
      <name val="Calibri"/>
      <family val="2"/>
    </font>
    <font>
      <sz val="11"/>
      <color rgb="FF9C5700"/>
      <name val="Calibri"/>
      <family val="2"/>
      <scheme val="minor"/>
    </font>
    <font>
      <sz val="11"/>
      <name val="Calibri"/>
      <family val="2"/>
      <scheme val="minor"/>
    </font>
    <font>
      <sz val="11"/>
      <color rgb="FFFF0000"/>
      <name val="Calibri"/>
      <family val="2"/>
      <scheme val="minor"/>
    </font>
    <font>
      <b/>
      <sz val="11"/>
      <color theme="1"/>
      <name val="Calibri"/>
      <family val="2"/>
      <scheme val="minor"/>
    </font>
    <font>
      <sz val="11"/>
      <color rgb="FF0070C0"/>
      <name val="Calibri"/>
      <family val="2"/>
      <scheme val="minor"/>
    </font>
    <font>
      <sz val="11"/>
      <color rgb="FF00B050"/>
      <name val="Calibri"/>
      <family val="2"/>
      <scheme val="minor"/>
    </font>
    <font>
      <sz val="11"/>
      <name val="Calibri"/>
      <family val="2"/>
    </font>
    <font>
      <b/>
      <sz val="11"/>
      <name val="Calibri"/>
      <family val="2"/>
    </font>
    <font>
      <b/>
      <sz val="16"/>
      <color rgb="FFFF0000"/>
      <name val="Arial"/>
      <family val="2"/>
    </font>
    <font>
      <b/>
      <sz val="12"/>
      <color indexed="8"/>
      <name val="Calibri"/>
      <family val="2"/>
    </font>
    <font>
      <sz val="12"/>
      <color indexed="10"/>
      <name val="Calibri"/>
      <family val="2"/>
    </font>
    <font>
      <vertAlign val="superscript"/>
      <sz val="12"/>
      <name val="Calibri"/>
      <family val="2"/>
    </font>
    <font>
      <b/>
      <sz val="12"/>
      <color rgb="FFFF0000"/>
      <name val="Calibri"/>
      <family val="2"/>
    </font>
    <font>
      <b/>
      <sz val="12"/>
      <color indexed="10"/>
      <name val="Calibri"/>
      <family val="2"/>
    </font>
    <font>
      <b/>
      <vertAlign val="superscript"/>
      <sz val="12"/>
      <color indexed="10"/>
      <name val="Calibri"/>
      <family val="2"/>
    </font>
    <font>
      <b/>
      <vertAlign val="superscript"/>
      <sz val="12"/>
      <color indexed="8"/>
      <name val="Calibri"/>
      <family val="2"/>
    </font>
    <font>
      <sz val="11"/>
      <color indexed="8"/>
      <name val="Calibri"/>
      <family val="2"/>
    </font>
    <font>
      <b/>
      <sz val="12"/>
      <color indexed="63"/>
      <name val="Calibri"/>
      <family val="2"/>
    </font>
    <font>
      <sz val="10.8"/>
      <name val="Calibri"/>
      <family val="2"/>
    </font>
    <font>
      <b/>
      <sz val="16"/>
      <color indexed="9"/>
      <name val="Calibri"/>
      <family val="2"/>
    </font>
    <font>
      <sz val="10"/>
      <color indexed="8"/>
      <name val="Arial"/>
      <family val="2"/>
    </font>
    <font>
      <b/>
      <sz val="14"/>
      <name val="Arial"/>
      <family val="2"/>
    </font>
    <font>
      <sz val="10"/>
      <color indexed="10"/>
      <name val="Arial"/>
      <family val="2"/>
    </font>
    <font>
      <b/>
      <sz val="11"/>
      <color indexed="8"/>
      <name val="Calibri"/>
      <family val="2"/>
    </font>
    <font>
      <sz val="12"/>
      <color rgb="FFFF0000"/>
      <name val="Calibri"/>
      <family val="2"/>
    </font>
    <font>
      <sz val="9"/>
      <color rgb="FFFF0000"/>
      <name val="Arial"/>
      <family val="2"/>
    </font>
    <font>
      <b/>
      <sz val="10"/>
      <color rgb="FFFF0000"/>
      <name val="Arial"/>
      <family val="2"/>
    </font>
    <font>
      <b/>
      <sz val="10"/>
      <color theme="4" tint="-0.249977111117893"/>
      <name val="Myriad Pro"/>
    </font>
    <font>
      <sz val="10"/>
      <color theme="0"/>
      <name val="Arial"/>
      <family val="2"/>
    </font>
    <font>
      <i/>
      <vertAlign val="superscript"/>
      <sz val="10"/>
      <name val="Arial"/>
      <family val="2"/>
    </font>
    <font>
      <b/>
      <sz val="14"/>
      <color indexed="56"/>
      <name val="Calibri"/>
      <family val="2"/>
    </font>
  </fonts>
  <fills count="20">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rgb="FFFFFF99"/>
        <bgColor indexed="64"/>
      </patternFill>
    </fill>
    <fill>
      <patternFill patternType="solid">
        <fgColor theme="0"/>
        <bgColor indexed="64"/>
      </patternFill>
    </fill>
    <fill>
      <patternFill patternType="solid">
        <fgColor rgb="FFCCFFFF"/>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patternFill>
    </fill>
    <fill>
      <patternFill patternType="solid">
        <fgColor theme="4" tint="0.79998168889431442"/>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18"/>
      </bottom>
      <diagonal/>
    </border>
    <border>
      <left/>
      <right/>
      <top/>
      <bottom style="medium">
        <color theme="3"/>
      </bottom>
      <diagonal/>
    </border>
  </borders>
  <cellStyleXfs count="12">
    <xf numFmtId="0" fontId="0" fillId="0" borderId="0"/>
    <xf numFmtId="2" fontId="1" fillId="2" borderId="1">
      <alignment horizontal="right"/>
    </xf>
    <xf numFmtId="0" fontId="1" fillId="3" borderId="1"/>
    <xf numFmtId="0" fontId="2" fillId="0" borderId="0"/>
    <xf numFmtId="0" fontId="2" fillId="0" borderId="0"/>
    <xf numFmtId="9" fontId="1" fillId="0" borderId="0" applyFont="0" applyFill="0" applyBorder="0" applyAlignment="0" applyProtection="0"/>
    <xf numFmtId="43" fontId="37" fillId="0" borderId="0" applyFont="0" applyFill="0" applyBorder="0" applyAlignment="0" applyProtection="0"/>
    <xf numFmtId="0" fontId="39" fillId="0" borderId="0"/>
    <xf numFmtId="0" fontId="50" fillId="15" borderId="0" applyNumberFormat="0" applyBorder="0" applyAlignment="0" applyProtection="0"/>
    <xf numFmtId="0" fontId="1" fillId="0" borderId="0"/>
    <xf numFmtId="0" fontId="1" fillId="0" borderId="0"/>
    <xf numFmtId="0" fontId="66" fillId="0" borderId="0"/>
  </cellStyleXfs>
  <cellXfs count="875">
    <xf numFmtId="0" fontId="0" fillId="0" borderId="0" xfId="0"/>
    <xf numFmtId="0" fontId="2" fillId="0" borderId="0" xfId="3"/>
    <xf numFmtId="0" fontId="4" fillId="0" borderId="0" xfId="3" applyFont="1"/>
    <xf numFmtId="0" fontId="6" fillId="0" borderId="0" xfId="0" applyFont="1"/>
    <xf numFmtId="1" fontId="0" fillId="0" borderId="0" xfId="0" applyNumberFormat="1"/>
    <xf numFmtId="0" fontId="0" fillId="0" borderId="0" xfId="0" applyFill="1"/>
    <xf numFmtId="2" fontId="0" fillId="0" borderId="0" xfId="0" applyNumberFormat="1"/>
    <xf numFmtId="0" fontId="5" fillId="0" borderId="0" xfId="3" applyFont="1"/>
    <xf numFmtId="0" fontId="5" fillId="0" borderId="0" xfId="0" applyFont="1"/>
    <xf numFmtId="0" fontId="8" fillId="0" borderId="0" xfId="0" applyFont="1"/>
    <xf numFmtId="0" fontId="6" fillId="0" borderId="0" xfId="3" applyFont="1"/>
    <xf numFmtId="0" fontId="0" fillId="0" borderId="0" xfId="0" applyBorder="1"/>
    <xf numFmtId="0" fontId="0" fillId="0" borderId="0" xfId="0" applyFill="1" applyBorder="1"/>
    <xf numFmtId="0" fontId="6" fillId="0" borderId="0" xfId="0" applyFont="1" applyProtection="1"/>
    <xf numFmtId="0" fontId="0" fillId="0" borderId="0" xfId="0" applyProtection="1"/>
    <xf numFmtId="0" fontId="6" fillId="0" borderId="0" xfId="0" applyFont="1" applyFill="1" applyBorder="1"/>
    <xf numFmtId="0" fontId="0" fillId="5" borderId="0" xfId="0" applyFill="1" applyProtection="1">
      <protection locked="0"/>
    </xf>
    <xf numFmtId="0" fontId="0" fillId="0" borderId="0" xfId="0" applyFill="1" applyProtection="1"/>
    <xf numFmtId="0" fontId="2" fillId="6" borderId="0" xfId="3" applyFill="1"/>
    <xf numFmtId="0" fontId="0" fillId="0" borderId="0" xfId="0" applyAlignment="1" applyProtection="1"/>
    <xf numFmtId="0" fontId="5" fillId="0" borderId="0" xfId="0" applyFont="1" applyProtection="1"/>
    <xf numFmtId="0" fontId="0" fillId="0" borderId="0" xfId="0" applyBorder="1" applyProtection="1"/>
    <xf numFmtId="0" fontId="0" fillId="0" borderId="0" xfId="0" applyFill="1" applyBorder="1" applyProtection="1"/>
    <xf numFmtId="0" fontId="11" fillId="6" borderId="0" xfId="0" applyFont="1" applyFill="1" applyAlignment="1" applyProtection="1">
      <alignment horizontal="left"/>
    </xf>
    <xf numFmtId="0" fontId="0" fillId="6" borderId="0" xfId="0" applyFill="1" applyProtection="1"/>
    <xf numFmtId="0" fontId="8" fillId="0" borderId="0" xfId="0" applyFont="1" applyProtection="1"/>
    <xf numFmtId="0" fontId="9" fillId="6" borderId="0" xfId="3" applyFont="1" applyFill="1" applyProtection="1"/>
    <xf numFmtId="0" fontId="10" fillId="6" borderId="0" xfId="3" applyFont="1" applyFill="1" applyProtection="1"/>
    <xf numFmtId="0" fontId="6" fillId="0" borderId="0" xfId="3" applyFont="1" applyProtection="1"/>
    <xf numFmtId="0" fontId="10" fillId="0" borderId="0" xfId="3" applyFont="1" applyProtection="1"/>
    <xf numFmtId="0" fontId="2" fillId="0" borderId="0" xfId="3" applyProtection="1"/>
    <xf numFmtId="0" fontId="2" fillId="6" borderId="0" xfId="3" applyFill="1" applyProtection="1"/>
    <xf numFmtId="2" fontId="2" fillId="0" borderId="0" xfId="3" applyNumberFormat="1" applyProtection="1"/>
    <xf numFmtId="0" fontId="6" fillId="0" borderId="2" xfId="0" applyFont="1" applyBorder="1" applyProtection="1"/>
    <xf numFmtId="1" fontId="0" fillId="0" borderId="0" xfId="0" applyNumberFormat="1" applyProtection="1"/>
    <xf numFmtId="0" fontId="2" fillId="0" borderId="0" xfId="3" applyAlignment="1" applyProtection="1">
      <alignment horizontal="right"/>
    </xf>
    <xf numFmtId="0" fontId="2" fillId="0" borderId="0" xfId="3" applyFont="1" applyProtection="1"/>
    <xf numFmtId="1" fontId="2" fillId="0" borderId="0" xfId="3" applyNumberFormat="1" applyProtection="1"/>
    <xf numFmtId="0" fontId="8" fillId="0" borderId="0" xfId="3" applyFont="1" applyProtection="1"/>
    <xf numFmtId="164" fontId="2" fillId="0" borderId="0" xfId="3" applyNumberFormat="1" applyProtection="1"/>
    <xf numFmtId="2" fontId="0" fillId="0" borderId="0" xfId="0" applyNumberFormat="1" applyProtection="1"/>
    <xf numFmtId="0" fontId="3" fillId="0" borderId="0" xfId="3" applyFont="1" applyProtection="1"/>
    <xf numFmtId="0" fontId="2" fillId="0" borderId="0" xfId="4" applyProtection="1"/>
    <xf numFmtId="0" fontId="13" fillId="0" borderId="0" xfId="3" applyFont="1" applyProtection="1"/>
    <xf numFmtId="2" fontId="13" fillId="0" borderId="0" xfId="3" applyNumberFormat="1" applyFont="1" applyProtection="1"/>
    <xf numFmtId="1" fontId="13" fillId="0" borderId="0" xfId="3" applyNumberFormat="1" applyFont="1" applyProtection="1"/>
    <xf numFmtId="0" fontId="6" fillId="0" borderId="0" xfId="4" applyFont="1" applyProtection="1"/>
    <xf numFmtId="164" fontId="6" fillId="0" borderId="0" xfId="0" applyNumberFormat="1" applyFont="1" applyProtection="1"/>
    <xf numFmtId="0" fontId="6" fillId="0" borderId="0" xfId="0" applyFont="1" applyAlignment="1" applyProtection="1">
      <alignment vertical="center"/>
    </xf>
    <xf numFmtId="3" fontId="0" fillId="0" borderId="0" xfId="0" applyNumberFormat="1" applyProtection="1"/>
    <xf numFmtId="0" fontId="7" fillId="0" borderId="0" xfId="0" applyFont="1" applyFill="1" applyAlignment="1" applyProtection="1">
      <alignment vertical="center"/>
    </xf>
    <xf numFmtId="0" fontId="0" fillId="0" borderId="0" xfId="0" applyAlignment="1" applyProtection="1">
      <alignment horizontal="right"/>
    </xf>
    <xf numFmtId="0" fontId="3" fillId="0" borderId="0" xfId="4" applyFont="1" applyProtection="1"/>
    <xf numFmtId="0" fontId="2" fillId="0" borderId="0" xfId="4" applyNumberFormat="1" applyProtection="1"/>
    <xf numFmtId="0" fontId="2" fillId="0" borderId="0" xfId="4" applyFont="1" applyProtection="1"/>
    <xf numFmtId="0" fontId="8" fillId="0" borderId="0" xfId="0" applyFont="1" applyAlignment="1" applyProtection="1"/>
    <xf numFmtId="1" fontId="0" fillId="0" borderId="0" xfId="0" applyNumberFormat="1" applyFill="1" applyBorder="1" applyProtection="1"/>
    <xf numFmtId="0" fontId="0" fillId="0" borderId="0" xfId="0" applyAlignment="1" applyProtection="1">
      <alignment vertical="top"/>
    </xf>
    <xf numFmtId="0" fontId="7" fillId="0" borderId="0" xfId="0" applyFont="1" applyProtection="1"/>
    <xf numFmtId="0" fontId="7" fillId="0" borderId="0" xfId="3" applyFont="1" applyProtection="1"/>
    <xf numFmtId="0" fontId="16" fillId="0" borderId="0" xfId="0" applyFont="1" applyFill="1" applyBorder="1" applyAlignment="1" applyProtection="1">
      <alignment horizontal="left" vertical="top"/>
    </xf>
    <xf numFmtId="0" fontId="19" fillId="0" borderId="0" xfId="0" applyFont="1" applyFill="1" applyBorder="1" applyAlignment="1" applyProtection="1">
      <alignment horizontal="left" vertical="top"/>
    </xf>
    <xf numFmtId="0" fontId="20" fillId="0" borderId="0" xfId="0" applyFont="1" applyFill="1" applyBorder="1" applyAlignment="1" applyProtection="1">
      <alignment horizontal="left" vertical="top"/>
    </xf>
    <xf numFmtId="0" fontId="16" fillId="4" borderId="0" xfId="0" applyFont="1" applyFill="1" applyBorder="1" applyAlignment="1" applyProtection="1">
      <alignment horizontal="left" vertical="top"/>
    </xf>
    <xf numFmtId="0" fontId="16" fillId="7" borderId="0" xfId="0" applyFont="1" applyFill="1" applyBorder="1" applyAlignment="1" applyProtection="1">
      <alignment horizontal="left" vertical="top"/>
    </xf>
    <xf numFmtId="0" fontId="2" fillId="0" borderId="0" xfId="3" applyFill="1" applyProtection="1"/>
    <xf numFmtId="0" fontId="2" fillId="0" borderId="0" xfId="3" applyFill="1"/>
    <xf numFmtId="0" fontId="2" fillId="0" borderId="0" xfId="3" applyAlignment="1" applyProtection="1">
      <alignment horizontal="center"/>
    </xf>
    <xf numFmtId="0" fontId="0" fillId="5" borderId="0" xfId="0" applyFill="1" applyAlignment="1" applyProtection="1">
      <alignment horizontal="center"/>
      <protection locked="0"/>
    </xf>
    <xf numFmtId="0" fontId="0" fillId="0" borderId="0" xfId="0" applyFill="1" applyAlignment="1" applyProtection="1">
      <alignment horizontal="center"/>
    </xf>
    <xf numFmtId="1" fontId="6" fillId="4" borderId="0" xfId="3" quotePrefix="1" applyNumberFormat="1" applyFont="1" applyFill="1" applyAlignment="1" applyProtection="1">
      <alignment horizontal="center"/>
    </xf>
    <xf numFmtId="1" fontId="6" fillId="4" borderId="0" xfId="3" applyNumberFormat="1" applyFont="1" applyFill="1" applyAlignment="1" applyProtection="1">
      <alignment horizontal="center"/>
    </xf>
    <xf numFmtId="2" fontId="6" fillId="4" borderId="0" xfId="3" applyNumberFormat="1" applyFont="1" applyFill="1" applyAlignment="1" applyProtection="1">
      <alignment horizontal="center"/>
    </xf>
    <xf numFmtId="0" fontId="0" fillId="0" borderId="0" xfId="0" applyAlignment="1" applyProtection="1">
      <alignment horizontal="center"/>
    </xf>
    <xf numFmtId="0" fontId="2" fillId="0" borderId="0" xfId="3" applyFont="1" applyAlignment="1" applyProtection="1">
      <alignment horizontal="center"/>
    </xf>
    <xf numFmtId="0" fontId="2" fillId="5" borderId="0" xfId="3" applyFill="1" applyAlignment="1" applyProtection="1">
      <alignment horizontal="center"/>
      <protection locked="0"/>
    </xf>
    <xf numFmtId="1" fontId="0" fillId="0" borderId="0" xfId="0" applyNumberFormat="1" applyAlignment="1" applyProtection="1">
      <alignment horizontal="center"/>
    </xf>
    <xf numFmtId="166" fontId="0" fillId="0" borderId="0" xfId="0" applyNumberFormat="1" applyAlignment="1" applyProtection="1">
      <alignment horizontal="center"/>
    </xf>
    <xf numFmtId="1" fontId="0" fillId="4" borderId="0" xfId="0" applyNumberFormat="1" applyFill="1" applyAlignment="1" applyProtection="1">
      <alignment horizontal="center"/>
    </xf>
    <xf numFmtId="2" fontId="2" fillId="0" borderId="0" xfId="3" applyNumberFormat="1" applyAlignment="1" applyProtection="1">
      <alignment horizontal="center"/>
    </xf>
    <xf numFmtId="1" fontId="2" fillId="0" borderId="0" xfId="3" applyNumberFormat="1" applyAlignment="1" applyProtection="1">
      <alignment horizontal="center"/>
    </xf>
    <xf numFmtId="1" fontId="2" fillId="4" borderId="0" xfId="3" applyNumberFormat="1" applyFill="1" applyAlignment="1" applyProtection="1">
      <alignment horizontal="center"/>
    </xf>
    <xf numFmtId="0" fontId="2" fillId="7" borderId="0" xfId="3" applyNumberFormat="1" applyFont="1" applyFill="1" applyAlignment="1" applyProtection="1">
      <alignment horizontal="center"/>
    </xf>
    <xf numFmtId="2" fontId="2" fillId="4" borderId="0" xfId="3" applyNumberFormat="1" applyFont="1" applyFill="1" applyAlignment="1" applyProtection="1">
      <alignment horizontal="center"/>
    </xf>
    <xf numFmtId="1" fontId="2" fillId="0" borderId="0" xfId="3" applyNumberFormat="1" applyFill="1" applyAlignment="1" applyProtection="1">
      <alignment horizontal="center"/>
    </xf>
    <xf numFmtId="0" fontId="2" fillId="7" borderId="0" xfId="3" applyNumberFormat="1" applyFill="1" applyAlignment="1" applyProtection="1">
      <alignment horizontal="center"/>
    </xf>
    <xf numFmtId="164" fontId="2" fillId="0" borderId="0" xfId="3" applyNumberFormat="1" applyAlignment="1" applyProtection="1">
      <alignment horizontal="center"/>
    </xf>
    <xf numFmtId="2" fontId="0" fillId="0" borderId="0" xfId="0" applyNumberFormat="1" applyAlignment="1" applyProtection="1">
      <alignment horizontal="center"/>
    </xf>
    <xf numFmtId="0" fontId="18" fillId="0" borderId="0" xfId="3" applyFont="1" applyProtection="1"/>
    <xf numFmtId="0" fontId="2" fillId="0" borderId="0" xfId="4" applyAlignment="1" applyProtection="1">
      <alignment horizontal="center"/>
    </xf>
    <xf numFmtId="1" fontId="6" fillId="4" borderId="0" xfId="0" applyNumberFormat="1" applyFont="1" applyFill="1" applyAlignment="1" applyProtection="1">
      <alignment horizontal="center"/>
    </xf>
    <xf numFmtId="0" fontId="18" fillId="0" borderId="0" xfId="0" applyFont="1" applyAlignment="1" applyProtection="1">
      <alignment horizontal="center" vertical="center" wrapText="1"/>
    </xf>
    <xf numFmtId="2" fontId="0" fillId="0" borderId="0" xfId="0" applyNumberFormat="1" applyFill="1" applyAlignment="1" applyProtection="1">
      <alignment horizontal="center"/>
    </xf>
    <xf numFmtId="166" fontId="0" fillId="0" borderId="0" xfId="0" applyNumberFormat="1" applyFill="1" applyAlignment="1" applyProtection="1">
      <alignment horizontal="center"/>
    </xf>
    <xf numFmtId="2" fontId="0" fillId="7" borderId="0" xfId="0" applyNumberFormat="1" applyFill="1" applyAlignment="1" applyProtection="1">
      <alignment horizontal="center"/>
    </xf>
    <xf numFmtId="166" fontId="0" fillId="7" borderId="0" xfId="0" applyNumberFormat="1" applyFill="1" applyAlignment="1" applyProtection="1">
      <alignment horizontal="center"/>
    </xf>
    <xf numFmtId="2" fontId="0" fillId="4" borderId="0" xfId="0" applyNumberFormat="1" applyFill="1" applyAlignment="1" applyProtection="1">
      <alignment horizontal="center"/>
    </xf>
    <xf numFmtId="166" fontId="0" fillId="4" borderId="0" xfId="0" applyNumberFormat="1" applyFill="1" applyAlignment="1" applyProtection="1">
      <alignment horizontal="center"/>
    </xf>
    <xf numFmtId="0" fontId="0" fillId="5" borderId="0" xfId="0" applyFill="1" applyBorder="1" applyAlignment="1" applyProtection="1">
      <alignment horizontal="center"/>
      <protection locked="0"/>
    </xf>
    <xf numFmtId="2" fontId="0" fillId="0" borderId="0" xfId="0" applyNumberFormat="1" applyFill="1" applyBorder="1" applyAlignment="1" applyProtection="1">
      <alignment horizontal="center"/>
    </xf>
    <xf numFmtId="1" fontId="0" fillId="5" borderId="0" xfId="0" applyNumberFormat="1" applyFill="1" applyBorder="1" applyAlignment="1" applyProtection="1">
      <alignment horizontal="center"/>
      <protection locked="0"/>
    </xf>
    <xf numFmtId="164" fontId="0" fillId="5" borderId="0" xfId="0" applyNumberFormat="1" applyFill="1" applyBorder="1" applyAlignment="1" applyProtection="1">
      <alignment horizontal="center"/>
      <protection locked="0"/>
    </xf>
    <xf numFmtId="1" fontId="0" fillId="0" borderId="0" xfId="0" applyNumberFormat="1" applyFill="1" applyBorder="1" applyAlignment="1" applyProtection="1">
      <alignment horizontal="center"/>
    </xf>
    <xf numFmtId="0" fontId="0" fillId="0" borderId="0" xfId="0" applyBorder="1" applyAlignment="1" applyProtection="1">
      <alignment horizontal="center"/>
    </xf>
    <xf numFmtId="2" fontId="0" fillId="0" borderId="0" xfId="0" applyNumberFormat="1" applyBorder="1" applyAlignment="1" applyProtection="1">
      <alignment horizontal="center"/>
    </xf>
    <xf numFmtId="0" fontId="0" fillId="0" borderId="0" xfId="0" applyFill="1" applyBorder="1" applyAlignment="1" applyProtection="1">
      <alignment horizontal="center"/>
    </xf>
    <xf numFmtId="1" fontId="0" fillId="4" borderId="0" xfId="0" applyNumberFormat="1" applyFill="1" applyBorder="1" applyAlignment="1" applyProtection="1">
      <alignment horizontal="center"/>
    </xf>
    <xf numFmtId="1" fontId="0" fillId="0" borderId="0" xfId="0" applyNumberFormat="1" applyFill="1" applyAlignment="1" applyProtection="1">
      <alignment horizontal="center"/>
    </xf>
    <xf numFmtId="164" fontId="0" fillId="0" borderId="0" xfId="0" applyNumberFormat="1" applyFill="1" applyAlignment="1" applyProtection="1">
      <alignment horizontal="center"/>
    </xf>
    <xf numFmtId="164" fontId="6" fillId="4" borderId="0" xfId="0" applyNumberFormat="1" applyFont="1" applyFill="1" applyAlignment="1" applyProtection="1">
      <alignment horizontal="center"/>
    </xf>
    <xf numFmtId="0" fontId="0" fillId="0" borderId="0" xfId="0" applyAlignment="1" applyProtection="1">
      <alignment horizontal="left"/>
    </xf>
    <xf numFmtId="0" fontId="0" fillId="0" borderId="3" xfId="0" applyBorder="1" applyProtection="1"/>
    <xf numFmtId="0" fontId="0" fillId="0" borderId="5" xfId="0" applyBorder="1" applyProtection="1"/>
    <xf numFmtId="0" fontId="0" fillId="0" borderId="6" xfId="0" applyBorder="1" applyProtection="1"/>
    <xf numFmtId="0" fontId="0" fillId="0" borderId="8" xfId="0" applyBorder="1" applyProtection="1"/>
    <xf numFmtId="0" fontId="0" fillId="0" borderId="4" xfId="0" applyBorder="1" applyProtection="1"/>
    <xf numFmtId="0" fontId="0" fillId="0" borderId="9" xfId="0" applyBorder="1" applyProtection="1"/>
    <xf numFmtId="0" fontId="16" fillId="5" borderId="0" xfId="0" applyFont="1" applyFill="1" applyBorder="1" applyAlignment="1" applyProtection="1">
      <alignment horizontal="left" vertical="top"/>
      <protection locked="0"/>
    </xf>
    <xf numFmtId="0" fontId="15" fillId="0" borderId="1" xfId="0" applyFont="1" applyBorder="1" applyAlignment="1" applyProtection="1">
      <alignment horizontal="center" vertical="top" wrapText="1"/>
    </xf>
    <xf numFmtId="0" fontId="16" fillId="0" borderId="1" xfId="0" applyFont="1" applyBorder="1" applyAlignment="1" applyProtection="1">
      <alignment horizontal="center" vertical="top" wrapText="1"/>
    </xf>
    <xf numFmtId="0" fontId="0" fillId="4" borderId="0" xfId="0" applyFill="1" applyProtection="1"/>
    <xf numFmtId="166" fontId="0" fillId="4" borderId="0" xfId="0" applyNumberFormat="1" applyFill="1" applyProtection="1"/>
    <xf numFmtId="166" fontId="0" fillId="7" borderId="0" xfId="0" applyNumberFormat="1" applyFill="1" applyProtection="1"/>
    <xf numFmtId="0" fontId="8" fillId="0" borderId="0" xfId="0" applyFont="1" applyFill="1" applyBorder="1"/>
    <xf numFmtId="0" fontId="6" fillId="0" borderId="5" xfId="0" applyFont="1" applyBorder="1"/>
    <xf numFmtId="0" fontId="0" fillId="0" borderId="5" xfId="0" applyBorder="1"/>
    <xf numFmtId="0" fontId="7" fillId="0" borderId="0" xfId="0" applyFont="1" applyFill="1" applyBorder="1" applyAlignment="1" applyProtection="1">
      <alignment vertical="center"/>
    </xf>
    <xf numFmtId="0" fontId="2" fillId="0" borderId="0" xfId="3" applyFill="1" applyAlignment="1" applyProtection="1">
      <alignment horizontal="center"/>
      <protection locked="0"/>
    </xf>
    <xf numFmtId="0" fontId="18" fillId="0" borderId="0" xfId="0" applyFont="1" applyFill="1" applyAlignment="1" applyProtection="1">
      <alignment horizontal="center" vertical="center" wrapText="1"/>
    </xf>
    <xf numFmtId="0" fontId="0" fillId="0" borderId="0" xfId="0" applyFill="1" applyAlignment="1" applyProtection="1">
      <alignment horizontal="left"/>
    </xf>
    <xf numFmtId="0" fontId="18" fillId="0" borderId="0" xfId="0" applyFont="1" applyAlignment="1" applyProtection="1">
      <alignment horizontal="center" vertical="top"/>
    </xf>
    <xf numFmtId="166" fontId="0" fillId="0" borderId="0" xfId="0" applyNumberFormat="1" applyFill="1" applyProtection="1"/>
    <xf numFmtId="0" fontId="0" fillId="5" borderId="0" xfId="0" applyNumberFormat="1" applyFill="1" applyProtection="1">
      <protection locked="0"/>
    </xf>
    <xf numFmtId="166" fontId="0" fillId="0" borderId="0" xfId="0" applyNumberFormat="1" applyProtection="1"/>
    <xf numFmtId="166" fontId="0" fillId="0" borderId="0" xfId="0" quotePrefix="1" applyNumberFormat="1" applyProtection="1"/>
    <xf numFmtId="0" fontId="0" fillId="0" borderId="5" xfId="0" applyFill="1" applyBorder="1" applyProtection="1"/>
    <xf numFmtId="1" fontId="0" fillId="0" borderId="0" xfId="0" applyNumberFormat="1" applyBorder="1" applyProtection="1"/>
    <xf numFmtId="0" fontId="28" fillId="0" borderId="0" xfId="0" applyFont="1" applyProtection="1"/>
    <xf numFmtId="0" fontId="28" fillId="0" borderId="0" xfId="0" applyFont="1"/>
    <xf numFmtId="0" fontId="29" fillId="0" borderId="0" xfId="0" applyFont="1" applyAlignment="1" applyProtection="1">
      <alignment horizontal="center"/>
    </xf>
    <xf numFmtId="0" fontId="28" fillId="0" borderId="0" xfId="0" applyFont="1" applyAlignment="1" applyProtection="1"/>
    <xf numFmtId="0" fontId="30" fillId="0" borderId="0" xfId="0" applyFont="1" applyAlignment="1" applyProtection="1">
      <alignment horizontal="center"/>
    </xf>
    <xf numFmtId="0" fontId="31" fillId="0" borderId="0" xfId="0" applyFont="1" applyProtection="1"/>
    <xf numFmtId="0" fontId="32" fillId="0" borderId="0" xfId="0" applyFont="1" applyAlignment="1" applyProtection="1"/>
    <xf numFmtId="0" fontId="33" fillId="0" borderId="0" xfId="0" applyFont="1" applyAlignment="1" applyProtection="1">
      <alignment horizontal="center"/>
    </xf>
    <xf numFmtId="0" fontId="31" fillId="0" borderId="0" xfId="0" applyFont="1"/>
    <xf numFmtId="0" fontId="28" fillId="0" borderId="0" xfId="0" applyFont="1" applyBorder="1" applyProtection="1"/>
    <xf numFmtId="0" fontId="28" fillId="0" borderId="0" xfId="0" applyFont="1" applyFill="1" applyBorder="1" applyProtection="1"/>
    <xf numFmtId="0" fontId="28" fillId="0" borderId="0" xfId="3" applyFont="1" applyFill="1" applyBorder="1" applyProtection="1"/>
    <xf numFmtId="0" fontId="28" fillId="0" borderId="0" xfId="0" quotePrefix="1" applyFont="1" applyProtection="1"/>
    <xf numFmtId="0" fontId="0" fillId="0" borderId="0" xfId="0" applyFont="1" applyProtection="1"/>
    <xf numFmtId="0" fontId="25" fillId="0" borderId="0" xfId="3" applyFont="1" applyFill="1" applyAlignment="1" applyProtection="1">
      <alignment wrapText="1"/>
    </xf>
    <xf numFmtId="0" fontId="6" fillId="0" borderId="2" xfId="0" applyFont="1" applyBorder="1" applyAlignment="1" applyProtection="1">
      <alignment horizontal="right"/>
    </xf>
    <xf numFmtId="0" fontId="6" fillId="0" borderId="3" xfId="0" applyFont="1" applyBorder="1" applyAlignment="1" applyProtection="1">
      <alignment horizontal="left"/>
    </xf>
    <xf numFmtId="0" fontId="35" fillId="0" borderId="0" xfId="0" applyFont="1" applyAlignment="1" applyProtection="1">
      <alignment horizontal="left" wrapText="1"/>
    </xf>
    <xf numFmtId="166" fontId="0" fillId="0" borderId="0" xfId="0" applyNumberFormat="1" applyFill="1" applyBorder="1" applyAlignment="1" applyProtection="1">
      <alignment horizontal="center"/>
    </xf>
    <xf numFmtId="0" fontId="18" fillId="0" borderId="3" xfId="0" applyFont="1" applyBorder="1" applyAlignment="1" applyProtection="1">
      <alignment horizontal="center" vertical="center" wrapText="1"/>
    </xf>
    <xf numFmtId="0" fontId="18" fillId="0" borderId="4" xfId="0" applyFont="1" applyBorder="1" applyAlignment="1" applyProtection="1">
      <alignment horizontal="center" vertical="center" wrapText="1"/>
    </xf>
    <xf numFmtId="0" fontId="0" fillId="5" borderId="0" xfId="0" applyFill="1" applyAlignment="1" applyProtection="1">
      <alignment horizontal="right"/>
      <protection locked="0"/>
    </xf>
    <xf numFmtId="0" fontId="24" fillId="0" borderId="0" xfId="3" applyFont="1" applyFill="1" applyBorder="1" applyAlignment="1" applyProtection="1">
      <alignment wrapText="1"/>
    </xf>
    <xf numFmtId="0" fontId="8" fillId="9" borderId="0" xfId="3" applyFont="1" applyFill="1" applyBorder="1" applyAlignment="1" applyProtection="1"/>
    <xf numFmtId="0" fontId="8" fillId="9" borderId="13" xfId="3" applyFont="1" applyFill="1" applyBorder="1" applyAlignment="1" applyProtection="1"/>
    <xf numFmtId="0" fontId="8" fillId="9" borderId="14" xfId="3" applyFont="1" applyFill="1" applyBorder="1" applyAlignment="1" applyProtection="1"/>
    <xf numFmtId="1" fontId="36" fillId="0" borderId="0" xfId="0" applyNumberFormat="1" applyFont="1" applyProtection="1"/>
    <xf numFmtId="1" fontId="36" fillId="0" borderId="0" xfId="0" applyNumberFormat="1" applyFont="1" applyAlignment="1" applyProtection="1">
      <alignment horizontal="center"/>
    </xf>
    <xf numFmtId="0" fontId="7" fillId="10" borderId="15" xfId="3" applyFont="1" applyFill="1" applyBorder="1" applyAlignment="1" applyProtection="1">
      <alignment horizontal="left"/>
    </xf>
    <xf numFmtId="2" fontId="0" fillId="10" borderId="0" xfId="0" applyNumberFormat="1" applyFill="1" applyProtection="1"/>
    <xf numFmtId="0" fontId="38" fillId="0" borderId="0" xfId="0" applyFont="1" applyProtection="1"/>
    <xf numFmtId="0" fontId="38" fillId="0" borderId="0" xfId="0" applyFont="1" applyFill="1" applyAlignment="1" applyProtection="1">
      <alignment wrapText="1"/>
    </xf>
    <xf numFmtId="0" fontId="39" fillId="0" borderId="1" xfId="7" applyFont="1" applyFill="1" applyBorder="1" applyAlignment="1" applyProtection="1">
      <alignment vertical="top" wrapText="1"/>
    </xf>
    <xf numFmtId="0" fontId="40" fillId="0" borderId="0" xfId="0" applyFont="1" applyProtection="1"/>
    <xf numFmtId="0" fontId="38" fillId="0" borderId="0" xfId="0" applyFont="1" applyAlignment="1" applyProtection="1">
      <alignment wrapText="1"/>
    </xf>
    <xf numFmtId="0" fontId="38" fillId="0" borderId="0" xfId="0" applyFont="1" applyFill="1" applyAlignment="1" applyProtection="1"/>
    <xf numFmtId="164" fontId="1" fillId="0" borderId="0" xfId="0" applyNumberFormat="1" applyFont="1" applyProtection="1"/>
    <xf numFmtId="0" fontId="1" fillId="0" borderId="0" xfId="0" applyFont="1" applyProtection="1"/>
    <xf numFmtId="0" fontId="1" fillId="0" borderId="0" xfId="0" applyFont="1" applyBorder="1" applyProtection="1"/>
    <xf numFmtId="0" fontId="0" fillId="0" borderId="17" xfId="0" applyBorder="1" applyProtection="1"/>
    <xf numFmtId="2" fontId="0" fillId="0" borderId="0" xfId="0" applyNumberFormat="1" applyBorder="1" applyProtection="1"/>
    <xf numFmtId="0" fontId="43" fillId="9" borderId="16" xfId="0" applyFont="1" applyFill="1" applyBorder="1" applyAlignment="1" applyProtection="1">
      <alignment horizontal="center" vertical="center" wrapText="1"/>
    </xf>
    <xf numFmtId="0" fontId="53" fillId="9" borderId="23" xfId="0" applyFont="1" applyFill="1" applyBorder="1" applyAlignment="1" applyProtection="1">
      <alignment horizontal="center" vertical="center"/>
    </xf>
    <xf numFmtId="0" fontId="55" fillId="9" borderId="10" xfId="0" applyFont="1" applyFill="1" applyBorder="1" applyAlignment="1" applyProtection="1">
      <alignment horizontal="center"/>
    </xf>
    <xf numFmtId="0" fontId="55" fillId="9" borderId="1" xfId="0" applyFont="1" applyFill="1" applyBorder="1" applyAlignment="1" applyProtection="1">
      <alignment horizontal="center"/>
    </xf>
    <xf numFmtId="0" fontId="0" fillId="9" borderId="24" xfId="0" applyFill="1" applyBorder="1" applyAlignment="1" applyProtection="1">
      <alignment horizontal="center"/>
    </xf>
    <xf numFmtId="0" fontId="55" fillId="9" borderId="22" xfId="0" quotePrefix="1" applyFont="1" applyFill="1" applyBorder="1" applyAlignment="1" applyProtection="1">
      <alignment horizontal="center"/>
    </xf>
    <xf numFmtId="0" fontId="54" fillId="9" borderId="22" xfId="0" quotePrefix="1" applyFont="1" applyFill="1" applyBorder="1" applyAlignment="1" applyProtection="1">
      <alignment horizontal="center"/>
    </xf>
    <xf numFmtId="0" fontId="54" fillId="9" borderId="10" xfId="0" applyFont="1" applyFill="1" applyBorder="1" applyAlignment="1" applyProtection="1">
      <alignment horizontal="center"/>
    </xf>
    <xf numFmtId="0" fontId="52" fillId="9" borderId="22" xfId="0" quotePrefix="1" applyFont="1" applyFill="1" applyBorder="1" applyAlignment="1" applyProtection="1">
      <alignment horizontal="center"/>
    </xf>
    <xf numFmtId="0" fontId="52" fillId="9" borderId="10" xfId="0" applyFont="1" applyFill="1" applyBorder="1" applyAlignment="1" applyProtection="1">
      <alignment horizontal="center"/>
    </xf>
    <xf numFmtId="0" fontId="56" fillId="11" borderId="0" xfId="0" applyFont="1" applyFill="1" applyAlignment="1" applyProtection="1">
      <alignment horizontal="center"/>
    </xf>
    <xf numFmtId="164" fontId="56" fillId="0" borderId="1" xfId="0" applyNumberFormat="1" applyFont="1" applyBorder="1" applyAlignment="1" applyProtection="1">
      <alignment horizontal="center"/>
    </xf>
    <xf numFmtId="164" fontId="56" fillId="0" borderId="22" xfId="0" applyNumberFormat="1" applyFont="1" applyBorder="1" applyAlignment="1" applyProtection="1">
      <alignment horizontal="center"/>
    </xf>
    <xf numFmtId="0" fontId="56" fillId="0" borderId="25" xfId="0" applyFont="1" applyFill="1" applyBorder="1" applyAlignment="1" applyProtection="1">
      <alignment horizontal="center" wrapText="1"/>
    </xf>
    <xf numFmtId="0" fontId="56" fillId="11" borderId="18" xfId="0" applyFont="1" applyFill="1" applyBorder="1" applyAlignment="1" applyProtection="1">
      <alignment horizontal="center"/>
    </xf>
    <xf numFmtId="164" fontId="57" fillId="11" borderId="19" xfId="0" applyNumberFormat="1" applyFont="1" applyFill="1" applyBorder="1" applyAlignment="1" applyProtection="1">
      <alignment horizontal="center"/>
    </xf>
    <xf numFmtId="2" fontId="57" fillId="13" borderId="20" xfId="0" applyNumberFormat="1" applyFont="1" applyFill="1" applyBorder="1" applyAlignment="1" applyProtection="1">
      <alignment horizontal="center"/>
    </xf>
    <xf numFmtId="0" fontId="53" fillId="9" borderId="26" xfId="0" applyFont="1" applyFill="1" applyBorder="1" applyAlignment="1" applyProtection="1">
      <alignment horizontal="center" vertical="center"/>
    </xf>
    <xf numFmtId="0" fontId="0" fillId="9" borderId="27" xfId="0" applyFill="1" applyBorder="1" applyAlignment="1" applyProtection="1">
      <alignment horizontal="center"/>
    </xf>
    <xf numFmtId="164" fontId="56" fillId="0" borderId="27" xfId="0" applyNumberFormat="1" applyFont="1" applyBorder="1" applyAlignment="1" applyProtection="1">
      <alignment horizontal="center"/>
    </xf>
    <xf numFmtId="0" fontId="56" fillId="11" borderId="28" xfId="0" applyFont="1" applyFill="1" applyBorder="1" applyAlignment="1" applyProtection="1">
      <alignment horizontal="center"/>
    </xf>
    <xf numFmtId="0" fontId="41" fillId="9" borderId="21" xfId="0" applyFont="1" applyFill="1" applyBorder="1" applyAlignment="1" applyProtection="1">
      <alignment horizontal="center" vertical="center"/>
    </xf>
    <xf numFmtId="0" fontId="43" fillId="9" borderId="29" xfId="0" applyFont="1" applyFill="1" applyBorder="1" applyAlignment="1" applyProtection="1">
      <alignment horizontal="center" vertical="center" wrapText="1"/>
    </xf>
    <xf numFmtId="0" fontId="52" fillId="9" borderId="22" xfId="0" applyFont="1" applyFill="1" applyBorder="1" applyAlignment="1" applyProtection="1">
      <alignment horizontal="center"/>
    </xf>
    <xf numFmtId="0" fontId="55" fillId="9" borderId="25" xfId="0" applyFont="1" applyFill="1" applyBorder="1" applyAlignment="1" applyProtection="1">
      <alignment horizontal="center"/>
    </xf>
    <xf numFmtId="0" fontId="56" fillId="0" borderId="22" xfId="0" applyFont="1" applyBorder="1" applyAlignment="1" applyProtection="1">
      <alignment horizontal="center"/>
    </xf>
    <xf numFmtId="0" fontId="56" fillId="0" borderId="25" xfId="0" applyFont="1" applyBorder="1" applyAlignment="1" applyProtection="1">
      <alignment horizontal="center"/>
    </xf>
    <xf numFmtId="0" fontId="56" fillId="11" borderId="20" xfId="0" applyFont="1" applyFill="1" applyBorder="1" applyAlignment="1" applyProtection="1">
      <alignment horizontal="center"/>
    </xf>
    <xf numFmtId="0" fontId="45" fillId="9" borderId="23" xfId="0" applyFont="1" applyFill="1" applyBorder="1" applyAlignment="1" applyProtection="1">
      <alignment horizontal="center" vertical="center"/>
    </xf>
    <xf numFmtId="0" fontId="51" fillId="9" borderId="24" xfId="0" applyFont="1" applyFill="1" applyBorder="1" applyAlignment="1" applyProtection="1">
      <alignment horizontal="center"/>
    </xf>
    <xf numFmtId="164" fontId="56" fillId="0" borderId="25" xfId="0" applyNumberFormat="1" applyFont="1" applyBorder="1" applyAlignment="1" applyProtection="1">
      <alignment horizontal="center" wrapText="1"/>
    </xf>
    <xf numFmtId="164" fontId="57" fillId="11" borderId="18" xfId="0" applyNumberFormat="1" applyFont="1" applyFill="1" applyBorder="1" applyAlignment="1" applyProtection="1">
      <alignment horizontal="center"/>
    </xf>
    <xf numFmtId="164" fontId="57" fillId="11" borderId="20" xfId="0" applyNumberFormat="1" applyFont="1" applyFill="1" applyBorder="1" applyAlignment="1" applyProtection="1">
      <alignment horizontal="center"/>
    </xf>
    <xf numFmtId="43" fontId="38" fillId="11" borderId="1" xfId="0" applyNumberFormat="1" applyFont="1" applyFill="1" applyBorder="1" applyAlignment="1" applyProtection="1">
      <alignment wrapText="1"/>
    </xf>
    <xf numFmtId="0" fontId="0" fillId="0" borderId="0" xfId="0"/>
    <xf numFmtId="164" fontId="56" fillId="16" borderId="25" xfId="0" applyNumberFormat="1" applyFont="1" applyFill="1" applyBorder="1" applyAlignment="1" applyProtection="1">
      <alignment horizontal="center" wrapText="1"/>
    </xf>
    <xf numFmtId="0" fontId="58" fillId="0" borderId="0" xfId="0" applyFont="1" applyProtection="1"/>
    <xf numFmtId="2" fontId="57" fillId="14" borderId="30" xfId="0" applyNumberFormat="1" applyFont="1" applyFill="1" applyBorder="1" applyAlignment="1" applyProtection="1">
      <alignment horizontal="center"/>
    </xf>
    <xf numFmtId="0" fontId="1" fillId="0" borderId="0" xfId="3" applyFont="1" applyProtection="1"/>
    <xf numFmtId="0" fontId="1" fillId="0" borderId="0" xfId="3" applyFont="1" applyFill="1" applyAlignment="1" applyProtection="1">
      <alignment horizontal="center"/>
    </xf>
    <xf numFmtId="0" fontId="1" fillId="0" borderId="0" xfId="3" applyFont="1" applyAlignment="1" applyProtection="1">
      <alignment horizontal="right"/>
    </xf>
    <xf numFmtId="1" fontId="1" fillId="0" borderId="0" xfId="3" applyNumberFormat="1" applyFont="1" applyFill="1" applyAlignment="1" applyProtection="1">
      <alignment horizontal="center"/>
    </xf>
    <xf numFmtId="0" fontId="1" fillId="0" borderId="0" xfId="3" applyFont="1" applyAlignment="1" applyProtection="1">
      <alignment horizontal="left"/>
    </xf>
    <xf numFmtId="0" fontId="1" fillId="0" borderId="0" xfId="0" applyFont="1" applyAlignment="1" applyProtection="1">
      <alignment vertical="center"/>
    </xf>
    <xf numFmtId="0" fontId="1" fillId="0" borderId="0" xfId="0" applyFont="1" applyFill="1" applyAlignment="1" applyProtection="1">
      <alignment horizontal="center" vertical="top"/>
    </xf>
    <xf numFmtId="0" fontId="49" fillId="0" borderId="0" xfId="0" applyFont="1" applyBorder="1" applyProtection="1"/>
    <xf numFmtId="0" fontId="1" fillId="0" borderId="0" xfId="0" applyFont="1" applyBorder="1" applyAlignment="1" applyProtection="1">
      <alignment horizontal="right"/>
    </xf>
    <xf numFmtId="0" fontId="1" fillId="0" borderId="0" xfId="3" applyFont="1" applyFill="1" applyBorder="1" applyProtection="1"/>
    <xf numFmtId="0" fontId="38" fillId="0" borderId="5" xfId="0" applyFont="1" applyBorder="1" applyProtection="1"/>
    <xf numFmtId="0" fontId="18" fillId="0" borderId="0" xfId="0" applyFont="1" applyBorder="1" applyAlignment="1" applyProtection="1">
      <alignment horizontal="center" vertical="center" wrapText="1"/>
    </xf>
    <xf numFmtId="0" fontId="38" fillId="0" borderId="0" xfId="0" applyFont="1" applyBorder="1" applyAlignment="1" applyProtection="1">
      <alignment wrapText="1"/>
    </xf>
    <xf numFmtId="0" fontId="38" fillId="0" borderId="0" xfId="0" applyFont="1" applyBorder="1" applyProtection="1"/>
    <xf numFmtId="0" fontId="38" fillId="0" borderId="0" xfId="0" applyFont="1" applyFill="1" applyBorder="1" applyAlignment="1" applyProtection="1">
      <alignment wrapText="1"/>
    </xf>
    <xf numFmtId="0" fontId="38" fillId="0" borderId="0" xfId="0" applyFont="1" applyFill="1" applyBorder="1" applyAlignment="1" applyProtection="1"/>
    <xf numFmtId="0" fontId="38" fillId="0" borderId="6" xfId="0" applyFont="1" applyFill="1" applyBorder="1" applyAlignment="1" applyProtection="1">
      <alignment horizontal="left" wrapText="1"/>
    </xf>
    <xf numFmtId="0" fontId="40" fillId="0" borderId="0" xfId="0" applyFont="1" applyBorder="1" applyProtection="1"/>
    <xf numFmtId="164" fontId="38" fillId="0" borderId="0" xfId="0" applyNumberFormat="1" applyFont="1" applyBorder="1" applyProtection="1"/>
    <xf numFmtId="0" fontId="38" fillId="0" borderId="6" xfId="0" applyFont="1" applyFill="1" applyBorder="1" applyAlignment="1" applyProtection="1">
      <alignment wrapText="1"/>
    </xf>
    <xf numFmtId="0" fontId="1" fillId="0" borderId="5" xfId="0" applyFont="1" applyBorder="1" applyProtection="1"/>
    <xf numFmtId="0" fontId="38" fillId="0" borderId="7" xfId="0" applyFont="1" applyBorder="1" applyProtection="1"/>
    <xf numFmtId="164" fontId="38" fillId="0" borderId="8" xfId="0" applyNumberFormat="1" applyFont="1" applyBorder="1" applyProtection="1"/>
    <xf numFmtId="0" fontId="38" fillId="0" borderId="8" xfId="0" applyFont="1" applyBorder="1" applyAlignment="1" applyProtection="1">
      <alignment wrapText="1"/>
    </xf>
    <xf numFmtId="0" fontId="38" fillId="0" borderId="8" xfId="0" applyFont="1" applyBorder="1" applyProtection="1"/>
    <xf numFmtId="0" fontId="38" fillId="0" borderId="8" xfId="0" applyFont="1" applyFill="1" applyBorder="1" applyAlignment="1" applyProtection="1">
      <alignment wrapText="1"/>
    </xf>
    <xf numFmtId="0" fontId="38" fillId="0" borderId="8" xfId="0" applyFont="1" applyFill="1" applyBorder="1" applyAlignment="1" applyProtection="1">
      <alignment horizontal="left" wrapText="1"/>
    </xf>
    <xf numFmtId="0" fontId="38" fillId="0" borderId="8" xfId="0" applyFont="1" applyFill="1" applyBorder="1" applyAlignment="1" applyProtection="1"/>
    <xf numFmtId="0" fontId="38" fillId="0" borderId="9" xfId="0" applyFont="1" applyFill="1" applyBorder="1" applyAlignment="1" applyProtection="1">
      <alignment horizontal="left" wrapText="1"/>
    </xf>
    <xf numFmtId="0" fontId="0" fillId="0" borderId="0" xfId="0" applyAlignment="1" applyProtection="1">
      <alignment horizontal="center" wrapText="1"/>
    </xf>
    <xf numFmtId="0" fontId="39" fillId="0" borderId="0" xfId="7" applyFont="1" applyFill="1" applyBorder="1" applyAlignment="1" applyProtection="1">
      <alignment vertical="top" wrapText="1"/>
    </xf>
    <xf numFmtId="164" fontId="1" fillId="0" borderId="0" xfId="0" applyNumberFormat="1" applyFont="1" applyBorder="1" applyProtection="1"/>
    <xf numFmtId="3" fontId="38" fillId="0" borderId="0" xfId="0" applyNumberFormat="1" applyFont="1" applyBorder="1" applyProtection="1"/>
    <xf numFmtId="0" fontId="1" fillId="0" borderId="5" xfId="0" applyFont="1" applyFill="1" applyBorder="1" applyProtection="1"/>
    <xf numFmtId="3" fontId="38" fillId="0" borderId="8" xfId="0" applyNumberFormat="1" applyFont="1" applyBorder="1" applyProtection="1"/>
    <xf numFmtId="0" fontId="56" fillId="12" borderId="0" xfId="0" applyFont="1" applyFill="1" applyProtection="1"/>
    <xf numFmtId="164" fontId="56" fillId="12" borderId="0" xfId="0" applyNumberFormat="1" applyFont="1" applyFill="1" applyProtection="1"/>
    <xf numFmtId="2" fontId="0" fillId="4" borderId="0" xfId="0" applyNumberFormat="1" applyFill="1" applyProtection="1"/>
    <xf numFmtId="2" fontId="0" fillId="7" borderId="0" xfId="0" applyNumberFormat="1" applyFill="1" applyProtection="1"/>
    <xf numFmtId="0" fontId="1" fillId="5" borderId="0" xfId="0" applyFont="1" applyFill="1" applyProtection="1">
      <protection locked="0"/>
    </xf>
    <xf numFmtId="0" fontId="56" fillId="12" borderId="0" xfId="0" applyFont="1" applyFill="1" applyAlignment="1" applyProtection="1">
      <alignment horizontal="center" vertical="top" wrapText="1"/>
    </xf>
    <xf numFmtId="43" fontId="38" fillId="0" borderId="6" xfId="0" applyNumberFormat="1" applyFont="1" applyFill="1" applyBorder="1" applyAlignment="1" applyProtection="1">
      <alignment wrapText="1"/>
    </xf>
    <xf numFmtId="0" fontId="40" fillId="0" borderId="0" xfId="0" applyFont="1" applyFill="1" applyBorder="1" applyAlignment="1" applyProtection="1">
      <alignment horizontal="left" wrapText="1"/>
    </xf>
    <xf numFmtId="0" fontId="38" fillId="0" borderId="0" xfId="0" applyFont="1" applyFill="1" applyAlignment="1" applyProtection="1">
      <alignment horizontal="left" wrapText="1"/>
    </xf>
    <xf numFmtId="0" fontId="6" fillId="0" borderId="3" xfId="0" applyFont="1" applyBorder="1" applyProtection="1"/>
    <xf numFmtId="0" fontId="0" fillId="5" borderId="0" xfId="0" applyFill="1" applyAlignment="1" applyProtection="1">
      <alignment horizontal="right"/>
    </xf>
    <xf numFmtId="0" fontId="18" fillId="0" borderId="0" xfId="0" applyFont="1" applyAlignment="1" applyProtection="1"/>
    <xf numFmtId="0" fontId="18" fillId="0" borderId="0" xfId="0" applyFont="1" applyProtection="1"/>
    <xf numFmtId="0" fontId="2" fillId="0" borderId="0" xfId="3" applyFont="1" applyFill="1" applyProtection="1"/>
    <xf numFmtId="0" fontId="1" fillId="0" borderId="0" xfId="0" applyFont="1" applyAlignment="1" applyProtection="1">
      <alignment vertical="top" wrapText="1"/>
    </xf>
    <xf numFmtId="0" fontId="0" fillId="0" borderId="0" xfId="0" applyAlignment="1" applyProtection="1">
      <alignment vertical="top" wrapText="1"/>
    </xf>
    <xf numFmtId="0" fontId="1" fillId="0" borderId="0" xfId="0" applyFont="1" applyAlignment="1" applyProtection="1">
      <alignment horizontal="left"/>
    </xf>
    <xf numFmtId="0" fontId="1" fillId="0" borderId="0" xfId="0" applyFont="1" applyFill="1" applyAlignment="1" applyProtection="1">
      <alignment horizontal="right"/>
    </xf>
    <xf numFmtId="0" fontId="1" fillId="0" borderId="0" xfId="0" applyFont="1" applyFill="1" applyProtection="1"/>
    <xf numFmtId="0" fontId="6" fillId="0" borderId="0" xfId="0" applyFont="1" applyFill="1" applyProtection="1"/>
    <xf numFmtId="1" fontId="6" fillId="0" borderId="0" xfId="3" applyNumberFormat="1" applyFont="1" applyFill="1" applyProtection="1"/>
    <xf numFmtId="0" fontId="8" fillId="0" borderId="0" xfId="3" applyFont="1" applyFill="1" applyProtection="1"/>
    <xf numFmtId="0" fontId="0" fillId="0" borderId="0" xfId="0" applyAlignment="1" applyProtection="1">
      <alignment wrapText="1"/>
    </xf>
    <xf numFmtId="0" fontId="8" fillId="12" borderId="0" xfId="0" applyFont="1" applyFill="1" applyProtection="1"/>
    <xf numFmtId="0" fontId="0" fillId="12" borderId="0" xfId="0" applyFill="1" applyProtection="1"/>
    <xf numFmtId="0" fontId="1" fillId="12" borderId="0" xfId="0" applyFont="1" applyFill="1" applyAlignment="1" applyProtection="1">
      <alignment horizontal="left"/>
    </xf>
    <xf numFmtId="0" fontId="0" fillId="12" borderId="0" xfId="0" applyFill="1" applyAlignment="1" applyProtection="1">
      <alignment horizontal="left"/>
    </xf>
    <xf numFmtId="0" fontId="0" fillId="12" borderId="0" xfId="0" applyFont="1" applyFill="1" applyAlignment="1" applyProtection="1">
      <alignment horizontal="left"/>
    </xf>
    <xf numFmtId="0" fontId="1" fillId="12" borderId="0" xfId="0" applyFont="1" applyFill="1" applyProtection="1"/>
    <xf numFmtId="0" fontId="0" fillId="12" borderId="0" xfId="0" applyFont="1" applyFill="1" applyProtection="1"/>
    <xf numFmtId="2" fontId="0" fillId="12" borderId="0" xfId="0" applyNumberFormat="1" applyFill="1" applyProtection="1"/>
    <xf numFmtId="0" fontId="51" fillId="8" borderId="0" xfId="8" applyFont="1" applyFill="1" applyProtection="1">
      <protection locked="0"/>
    </xf>
    <xf numFmtId="0" fontId="50" fillId="8" borderId="0" xfId="8" applyFill="1" applyProtection="1">
      <protection locked="0"/>
    </xf>
    <xf numFmtId="0" fontId="0" fillId="8" borderId="0" xfId="0" applyFill="1" applyBorder="1" applyProtection="1">
      <protection locked="0"/>
    </xf>
    <xf numFmtId="0" fontId="51" fillId="8" borderId="0" xfId="8" applyFont="1" applyFill="1" applyAlignment="1" applyProtection="1">
      <protection locked="0"/>
    </xf>
    <xf numFmtId="0" fontId="0" fillId="8" borderId="0" xfId="0" applyFill="1" applyAlignment="1" applyProtection="1">
      <alignment horizontal="center"/>
      <protection locked="0"/>
    </xf>
    <xf numFmtId="0" fontId="0" fillId="8" borderId="0" xfId="0" applyFill="1" applyProtection="1">
      <protection locked="0"/>
    </xf>
    <xf numFmtId="0" fontId="1" fillId="8" borderId="0" xfId="0" applyFont="1" applyFill="1" applyAlignment="1" applyProtection="1">
      <alignment horizontal="center"/>
      <protection locked="0"/>
    </xf>
    <xf numFmtId="0" fontId="47" fillId="0" borderId="0" xfId="0" applyFont="1" applyBorder="1" applyProtection="1"/>
    <xf numFmtId="0" fontId="1" fillId="0" borderId="0" xfId="0" applyFont="1" applyBorder="1" applyAlignment="1" applyProtection="1">
      <alignment wrapText="1"/>
    </xf>
    <xf numFmtId="0" fontId="1" fillId="0" borderId="0" xfId="0" applyFont="1" applyBorder="1" applyAlignment="1" applyProtection="1">
      <alignment horizontal="center" wrapText="1"/>
    </xf>
    <xf numFmtId="0" fontId="47" fillId="0" borderId="0" xfId="0" applyFont="1" applyFill="1" applyBorder="1" applyProtection="1"/>
    <xf numFmtId="0" fontId="1" fillId="0" borderId="1" xfId="0" applyFont="1" applyBorder="1" applyProtection="1"/>
    <xf numFmtId="164" fontId="39" fillId="10" borderId="1" xfId="6" applyNumberFormat="1" applyFont="1" applyFill="1" applyBorder="1" applyAlignment="1" applyProtection="1">
      <alignment horizontal="right" vertical="top" wrapText="1"/>
    </xf>
    <xf numFmtId="43" fontId="39" fillId="10" borderId="1" xfId="6" applyFont="1" applyFill="1" applyBorder="1" applyAlignment="1" applyProtection="1">
      <alignment horizontal="right" vertical="top" wrapText="1"/>
    </xf>
    <xf numFmtId="0" fontId="1" fillId="0" borderId="0" xfId="0" applyFont="1" applyFill="1" applyBorder="1" applyProtection="1"/>
    <xf numFmtId="164" fontId="39" fillId="0" borderId="0" xfId="6" applyNumberFormat="1" applyFont="1" applyFill="1" applyBorder="1" applyAlignment="1" applyProtection="1">
      <alignment horizontal="right" vertical="top" wrapText="1"/>
    </xf>
    <xf numFmtId="43" fontId="39" fillId="0" borderId="0" xfId="6" applyFont="1" applyFill="1" applyBorder="1" applyAlignment="1" applyProtection="1">
      <alignment horizontal="right" vertical="top" wrapText="1"/>
    </xf>
    <xf numFmtId="0" fontId="1" fillId="0" borderId="0" xfId="3" applyFont="1" applyAlignment="1" applyProtection="1">
      <alignment horizontal="left" wrapText="1"/>
    </xf>
    <xf numFmtId="0" fontId="1" fillId="0" borderId="0" xfId="3" applyFont="1" applyAlignment="1" applyProtection="1">
      <alignment wrapText="1"/>
    </xf>
    <xf numFmtId="0" fontId="1" fillId="8" borderId="0" xfId="3" applyFont="1" applyFill="1" applyProtection="1">
      <protection locked="0"/>
    </xf>
    <xf numFmtId="0" fontId="38" fillId="0" borderId="0" xfId="0" applyFont="1" applyFill="1" applyAlignment="1" applyProtection="1">
      <alignment horizontal="left" wrapText="1"/>
    </xf>
    <xf numFmtId="0" fontId="38" fillId="0" borderId="0" xfId="10" applyFont="1" applyFill="1" applyAlignment="1" applyProtection="1">
      <alignment horizontal="left" wrapText="1"/>
      <protection locked="0"/>
    </xf>
    <xf numFmtId="9" fontId="38" fillId="4" borderId="25" xfId="5" applyFont="1" applyFill="1" applyBorder="1" applyProtection="1"/>
    <xf numFmtId="9" fontId="38" fillId="4" borderId="29" xfId="5" applyFont="1" applyFill="1" applyBorder="1" applyAlignment="1" applyProtection="1">
      <alignment wrapText="1"/>
    </xf>
    <xf numFmtId="0" fontId="39" fillId="6" borderId="14" xfId="7" applyFont="1" applyFill="1" applyBorder="1" applyAlignment="1" applyProtection="1">
      <alignment horizontal="left" wrapText="1"/>
    </xf>
    <xf numFmtId="0" fontId="39" fillId="17" borderId="29" xfId="7" applyFont="1" applyFill="1" applyBorder="1" applyAlignment="1" applyProtection="1">
      <alignment horizontal="left" wrapText="1"/>
      <protection locked="0"/>
    </xf>
    <xf numFmtId="0" fontId="38" fillId="0" borderId="0" xfId="10" applyFont="1" applyFill="1" applyProtection="1"/>
    <xf numFmtId="0" fontId="39" fillId="17" borderId="1" xfId="7" applyFont="1" applyFill="1" applyBorder="1" applyAlignment="1" applyProtection="1">
      <alignment horizontal="left" wrapText="1"/>
      <protection locked="0"/>
    </xf>
    <xf numFmtId="9" fontId="38" fillId="17" borderId="1" xfId="5" applyFont="1" applyFill="1" applyBorder="1" applyProtection="1">
      <protection locked="0"/>
    </xf>
    <xf numFmtId="0" fontId="38" fillId="0" borderId="0" xfId="10" applyFont="1" applyFill="1" applyAlignment="1" applyProtection="1">
      <protection locked="0"/>
    </xf>
    <xf numFmtId="0" fontId="38" fillId="4" borderId="1" xfId="7" applyFont="1" applyFill="1" applyBorder="1" applyAlignment="1" applyProtection="1">
      <alignment horizontal="left" vertical="top" wrapText="1"/>
    </xf>
    <xf numFmtId="0" fontId="39" fillId="17" borderId="1" xfId="7" applyFont="1" applyFill="1" applyBorder="1" applyAlignment="1" applyProtection="1">
      <alignment horizontal="left" vertical="top" wrapText="1"/>
      <protection locked="0"/>
    </xf>
    <xf numFmtId="0" fontId="38" fillId="0" borderId="0" xfId="10" applyFont="1" applyFill="1" applyAlignment="1" applyProtection="1">
      <alignment wrapText="1"/>
      <protection locked="0"/>
    </xf>
    <xf numFmtId="2" fontId="39" fillId="17" borderId="1" xfId="7" applyNumberFormat="1" applyFont="1" applyFill="1" applyBorder="1" applyAlignment="1" applyProtection="1">
      <alignment horizontal="left" wrapText="1"/>
      <protection locked="0"/>
    </xf>
    <xf numFmtId="0" fontId="39" fillId="0" borderId="1" xfId="11" applyFont="1" applyFill="1" applyBorder="1" applyProtection="1">
      <protection hidden="1"/>
    </xf>
    <xf numFmtId="11" fontId="39" fillId="17" borderId="46" xfId="7" applyNumberFormat="1" applyFont="1" applyFill="1" applyBorder="1" applyAlignment="1" applyProtection="1">
      <alignment horizontal="left" wrapText="1"/>
      <protection locked="0"/>
    </xf>
    <xf numFmtId="0" fontId="39" fillId="0" borderId="46" xfId="7" applyFont="1" applyFill="1" applyBorder="1" applyAlignment="1" applyProtection="1">
      <alignment vertical="top" wrapText="1"/>
    </xf>
    <xf numFmtId="0" fontId="39" fillId="0" borderId="47" xfId="7" applyFont="1" applyFill="1" applyBorder="1" applyAlignment="1" applyProtection="1">
      <alignment vertical="top" wrapText="1"/>
    </xf>
    <xf numFmtId="0" fontId="69" fillId="19" borderId="0" xfId="10" applyFont="1" applyFill="1" applyAlignment="1" applyProtection="1">
      <alignment horizontal="left" wrapText="1"/>
    </xf>
    <xf numFmtId="0" fontId="69" fillId="19" borderId="0" xfId="10" applyFont="1" applyFill="1" applyAlignment="1" applyProtection="1">
      <alignment wrapText="1"/>
    </xf>
    <xf numFmtId="0" fontId="38" fillId="9" borderId="0" xfId="10" applyFont="1" applyFill="1" applyProtection="1"/>
    <xf numFmtId="2" fontId="38" fillId="9" borderId="0" xfId="10" quotePrefix="1" applyNumberFormat="1" applyFont="1" applyFill="1" applyProtection="1"/>
    <xf numFmtId="0" fontId="6" fillId="9" borderId="0" xfId="10" applyFont="1" applyFill="1" applyAlignment="1" applyProtection="1">
      <alignment wrapText="1"/>
    </xf>
    <xf numFmtId="0" fontId="40" fillId="9" borderId="0" xfId="10" applyFont="1" applyFill="1" applyAlignment="1" applyProtection="1">
      <alignment wrapText="1"/>
    </xf>
    <xf numFmtId="0" fontId="38" fillId="0" borderId="0" xfId="0" applyFont="1" applyFill="1" applyProtection="1"/>
    <xf numFmtId="0" fontId="61" fillId="0" borderId="0" xfId="0" applyFont="1" applyProtection="1"/>
    <xf numFmtId="0" fontId="40" fillId="6" borderId="14" xfId="0" applyFont="1" applyFill="1" applyBorder="1" applyProtection="1"/>
    <xf numFmtId="0" fontId="38" fillId="0" borderId="0" xfId="0" applyFont="1" applyFill="1" applyAlignment="1" applyProtection="1">
      <alignment wrapText="1"/>
      <protection locked="0"/>
    </xf>
    <xf numFmtId="0" fontId="38" fillId="0" borderId="0" xfId="0" applyFont="1" applyFill="1" applyAlignment="1" applyProtection="1">
      <alignment horizontal="left" wrapText="1"/>
      <protection locked="0"/>
    </xf>
    <xf numFmtId="0" fontId="38" fillId="0" borderId="0" xfId="0" applyFont="1" applyFill="1" applyAlignment="1" applyProtection="1">
      <protection locked="0"/>
    </xf>
    <xf numFmtId="0" fontId="38" fillId="0" borderId="46" xfId="0" applyFont="1" applyBorder="1" applyProtection="1"/>
    <xf numFmtId="0" fontId="38" fillId="0" borderId="1" xfId="0" applyFont="1" applyBorder="1" applyProtection="1"/>
    <xf numFmtId="0" fontId="38" fillId="0" borderId="0" xfId="0" applyFont="1" applyFill="1" applyProtection="1">
      <protection locked="0"/>
    </xf>
    <xf numFmtId="0" fontId="38" fillId="4" borderId="1" xfId="0" applyFont="1" applyFill="1" applyBorder="1" applyProtection="1"/>
    <xf numFmtId="0" fontId="38" fillId="0" borderId="1" xfId="0" applyFont="1" applyFill="1" applyBorder="1" applyProtection="1"/>
    <xf numFmtId="0" fontId="38" fillId="7" borderId="1" xfId="0" applyFont="1" applyFill="1" applyBorder="1" applyProtection="1"/>
    <xf numFmtId="0" fontId="38" fillId="17" borderId="1" xfId="0" applyFont="1" applyFill="1" applyBorder="1" applyProtection="1">
      <protection locked="0"/>
    </xf>
    <xf numFmtId="0" fontId="38" fillId="4" borderId="1" xfId="0" applyFont="1" applyFill="1" applyBorder="1" applyAlignment="1" applyProtection="1">
      <alignment horizontal="left"/>
    </xf>
    <xf numFmtId="0" fontId="38" fillId="0" borderId="1" xfId="0" applyFont="1" applyFill="1" applyBorder="1" applyAlignment="1" applyProtection="1">
      <alignment wrapText="1"/>
    </xf>
    <xf numFmtId="0" fontId="38" fillId="18" borderId="0" xfId="0" applyFont="1" applyFill="1" applyProtection="1"/>
    <xf numFmtId="2" fontId="38" fillId="17" borderId="1" xfId="0" applyNumberFormat="1" applyFont="1" applyFill="1" applyBorder="1" applyAlignment="1" applyProtection="1">
      <protection locked="0"/>
    </xf>
    <xf numFmtId="2" fontId="38" fillId="4" borderId="1" xfId="0" applyNumberFormat="1" applyFont="1" applyFill="1" applyBorder="1" applyProtection="1"/>
    <xf numFmtId="0" fontId="60" fillId="0" borderId="0" xfId="0" applyFont="1" applyAlignment="1" applyProtection="1">
      <alignment wrapText="1"/>
    </xf>
    <xf numFmtId="0" fontId="38" fillId="0" borderId="0" xfId="0" applyFont="1" applyFill="1" applyBorder="1" applyProtection="1"/>
    <xf numFmtId="164" fontId="38" fillId="0" borderId="0" xfId="0" applyNumberFormat="1" applyFont="1" applyFill="1" applyBorder="1" applyProtection="1"/>
    <xf numFmtId="0" fontId="59" fillId="0" borderId="0" xfId="0" applyFont="1" applyFill="1" applyBorder="1" applyAlignment="1" applyProtection="1">
      <protection hidden="1"/>
    </xf>
    <xf numFmtId="0" fontId="60" fillId="0" borderId="0" xfId="0" applyFont="1" applyProtection="1"/>
    <xf numFmtId="0" fontId="38" fillId="6" borderId="14" xfId="0" applyFont="1" applyFill="1" applyBorder="1" applyProtection="1">
      <protection hidden="1"/>
    </xf>
    <xf numFmtId="0" fontId="39" fillId="0" borderId="0" xfId="0" applyFont="1" applyFill="1" applyBorder="1" applyAlignment="1" applyProtection="1">
      <alignment horizontal="left" wrapText="1"/>
      <protection locked="0" hidden="1"/>
    </xf>
    <xf numFmtId="0" fontId="59" fillId="0" borderId="0" xfId="0" applyFont="1" applyFill="1" applyBorder="1" applyAlignment="1" applyProtection="1">
      <protection locked="0" hidden="1"/>
    </xf>
    <xf numFmtId="0" fontId="59" fillId="0" borderId="0" xfId="0" applyFont="1" applyFill="1" applyBorder="1" applyAlignment="1" applyProtection="1">
      <alignment horizontal="center"/>
      <protection hidden="1"/>
    </xf>
    <xf numFmtId="0" fontId="60" fillId="0" borderId="0" xfId="0" applyFont="1" applyFill="1" applyAlignment="1" applyProtection="1">
      <alignment horizontal="center" wrapText="1"/>
      <protection hidden="1"/>
    </xf>
    <xf numFmtId="0" fontId="59" fillId="0" borderId="0" xfId="0" applyFont="1" applyFill="1" applyBorder="1" applyAlignment="1" applyProtection="1">
      <alignment horizontal="left"/>
      <protection locked="0" hidden="1"/>
    </xf>
    <xf numFmtId="0" fontId="38" fillId="0" borderId="1" xfId="0" applyFont="1" applyFill="1" applyBorder="1" applyAlignment="1" applyProtection="1">
      <alignment horizontal="right"/>
    </xf>
    <xf numFmtId="0" fontId="59" fillId="0" borderId="0" xfId="0" applyFont="1" applyFill="1" applyBorder="1" applyAlignment="1" applyProtection="1">
      <alignment horizontal="center"/>
      <protection locked="0" hidden="1"/>
    </xf>
    <xf numFmtId="0" fontId="40" fillId="0" borderId="0" xfId="0" applyFont="1" applyFill="1" applyBorder="1" applyAlignment="1" applyProtection="1">
      <alignment horizontal="right"/>
      <protection hidden="1"/>
    </xf>
    <xf numFmtId="0" fontId="38" fillId="4" borderId="1" xfId="0" applyFont="1" applyFill="1" applyBorder="1" applyProtection="1">
      <protection hidden="1"/>
    </xf>
    <xf numFmtId="0" fontId="38" fillId="0" borderId="0" xfId="0" applyFont="1" applyFill="1" applyProtection="1">
      <protection hidden="1"/>
    </xf>
    <xf numFmtId="0" fontId="59" fillId="0" borderId="43" xfId="0" applyFont="1" applyFill="1" applyBorder="1" applyAlignment="1" applyProtection="1">
      <alignment horizontal="center"/>
      <protection hidden="1"/>
    </xf>
    <xf numFmtId="0" fontId="59" fillId="0" borderId="19" xfId="0" applyFont="1" applyFill="1" applyBorder="1" applyAlignment="1" applyProtection="1">
      <alignment horizontal="center" wrapText="1"/>
      <protection hidden="1"/>
    </xf>
    <xf numFmtId="0" fontId="59" fillId="0" borderId="14" xfId="0" applyFont="1" applyFill="1" applyBorder="1" applyAlignment="1" applyProtection="1">
      <alignment horizontal="center" wrapText="1"/>
      <protection hidden="1"/>
    </xf>
    <xf numFmtId="0" fontId="59" fillId="0" borderId="44" xfId="0" applyFont="1" applyFill="1" applyBorder="1" applyAlignment="1" applyProtection="1">
      <alignment horizontal="center" wrapText="1"/>
      <protection hidden="1"/>
    </xf>
    <xf numFmtId="0" fontId="59" fillId="0" borderId="0" xfId="0" applyFont="1" applyFill="1" applyBorder="1" applyAlignment="1" applyProtection="1">
      <alignment horizontal="center" wrapText="1"/>
      <protection locked="0" hidden="1"/>
    </xf>
    <xf numFmtId="0" fontId="59" fillId="0" borderId="0" xfId="0" applyFont="1" applyFill="1" applyBorder="1" applyAlignment="1" applyProtection="1">
      <alignment horizontal="left" wrapText="1"/>
      <protection locked="0" hidden="1"/>
    </xf>
    <xf numFmtId="0" fontId="40" fillId="0" borderId="43" xfId="0" applyFont="1" applyFill="1" applyBorder="1" applyAlignment="1" applyProtection="1">
      <alignment horizontal="center" vertical="center" wrapText="1"/>
      <protection hidden="1"/>
    </xf>
    <xf numFmtId="0" fontId="38" fillId="0" borderId="26" xfId="0" applyFont="1" applyFill="1" applyBorder="1" applyAlignment="1" applyProtection="1">
      <alignment horizontal="center"/>
      <protection hidden="1"/>
    </xf>
    <xf numFmtId="0" fontId="38" fillId="0" borderId="21" xfId="0" applyFont="1" applyFill="1" applyBorder="1" applyAlignment="1" applyProtection="1">
      <alignment horizontal="right"/>
      <protection hidden="1"/>
    </xf>
    <xf numFmtId="0" fontId="38" fillId="0" borderId="16" xfId="0" applyFont="1" applyFill="1" applyBorder="1" applyAlignment="1" applyProtection="1">
      <alignment horizontal="right"/>
      <protection hidden="1"/>
    </xf>
    <xf numFmtId="0" fontId="38" fillId="0" borderId="29" xfId="0" applyFont="1" applyFill="1" applyBorder="1" applyAlignment="1" applyProtection="1">
      <alignment horizontal="right"/>
      <protection hidden="1"/>
    </xf>
    <xf numFmtId="0" fontId="38" fillId="0" borderId="0" xfId="0" applyFont="1" applyFill="1" applyBorder="1" applyAlignment="1" applyProtection="1">
      <alignment horizontal="left" wrapText="1"/>
      <protection locked="0" hidden="1"/>
    </xf>
    <xf numFmtId="0" fontId="38" fillId="0" borderId="0" xfId="0" applyFont="1" applyFill="1" applyBorder="1" applyAlignment="1" applyProtection="1">
      <alignment horizontal="right"/>
      <protection locked="0" hidden="1"/>
    </xf>
    <xf numFmtId="0" fontId="40" fillId="0" borderId="17" xfId="0" applyFont="1" applyFill="1" applyBorder="1" applyAlignment="1" applyProtection="1">
      <alignment horizontal="center" vertical="center" wrapText="1"/>
      <protection hidden="1"/>
    </xf>
    <xf numFmtId="0" fontId="38" fillId="0" borderId="27" xfId="0" applyFont="1" applyFill="1" applyBorder="1" applyAlignment="1" applyProtection="1">
      <alignment horizontal="center"/>
      <protection hidden="1"/>
    </xf>
    <xf numFmtId="0" fontId="38" fillId="0" borderId="22" xfId="0" applyFont="1" applyFill="1" applyBorder="1" applyAlignment="1" applyProtection="1">
      <alignment horizontal="right"/>
      <protection hidden="1"/>
    </xf>
    <xf numFmtId="0" fontId="38" fillId="0" borderId="1" xfId="0" applyFont="1" applyFill="1" applyBorder="1" applyAlignment="1" applyProtection="1">
      <alignment horizontal="right"/>
      <protection hidden="1"/>
    </xf>
    <xf numFmtId="0" fontId="38" fillId="0" borderId="25" xfId="0" applyFont="1" applyFill="1" applyBorder="1" applyAlignment="1" applyProtection="1">
      <alignment horizontal="right"/>
      <protection hidden="1"/>
    </xf>
    <xf numFmtId="2" fontId="38" fillId="0" borderId="0" xfId="0" applyNumberFormat="1" applyFont="1" applyFill="1" applyBorder="1" applyAlignment="1" applyProtection="1">
      <alignment horizontal="left" wrapText="1"/>
      <protection locked="0"/>
    </xf>
    <xf numFmtId="2" fontId="38" fillId="17" borderId="22" xfId="0" applyNumberFormat="1" applyFont="1" applyFill="1" applyBorder="1" applyAlignment="1" applyProtection="1">
      <protection locked="0"/>
    </xf>
    <xf numFmtId="2" fontId="38" fillId="17" borderId="25" xfId="0" applyNumberFormat="1" applyFont="1" applyFill="1" applyBorder="1" applyAlignment="1" applyProtection="1">
      <alignment horizontal="right"/>
      <protection locked="0"/>
    </xf>
    <xf numFmtId="2" fontId="38" fillId="0" borderId="0" xfId="0" applyNumberFormat="1" applyFont="1" applyFill="1" applyBorder="1" applyAlignment="1" applyProtection="1">
      <alignment horizontal="right" wrapText="1"/>
      <protection locked="0"/>
    </xf>
    <xf numFmtId="2" fontId="38" fillId="0" borderId="0" xfId="0" applyNumberFormat="1" applyFont="1" applyFill="1" applyBorder="1" applyAlignment="1" applyProtection="1">
      <alignment horizontal="right"/>
      <protection locked="0"/>
    </xf>
    <xf numFmtId="0" fontId="38" fillId="0" borderId="30" xfId="0" applyFont="1" applyFill="1" applyBorder="1" applyAlignment="1" applyProtection="1">
      <alignment horizontal="center"/>
      <protection hidden="1"/>
    </xf>
    <xf numFmtId="2" fontId="38" fillId="17" borderId="25" xfId="0" applyNumberFormat="1" applyFont="1" applyFill="1" applyBorder="1" applyAlignment="1" applyProtection="1">
      <protection locked="0"/>
    </xf>
    <xf numFmtId="2" fontId="38" fillId="0" borderId="0" xfId="0" applyNumberFormat="1" applyFont="1" applyFill="1" applyBorder="1" applyAlignment="1" applyProtection="1">
      <alignment wrapText="1"/>
      <protection locked="0"/>
    </xf>
    <xf numFmtId="2" fontId="38" fillId="0" borderId="0" xfId="0" applyNumberFormat="1" applyFont="1" applyFill="1" applyBorder="1" applyAlignment="1" applyProtection="1">
      <protection locked="0"/>
    </xf>
    <xf numFmtId="0" fontId="40" fillId="0" borderId="41" xfId="0" applyFont="1" applyFill="1" applyBorder="1" applyAlignment="1" applyProtection="1">
      <alignment horizontal="center" vertical="center" wrapText="1"/>
      <protection hidden="1"/>
    </xf>
    <xf numFmtId="166" fontId="38" fillId="0" borderId="0" xfId="0" applyNumberFormat="1" applyFont="1" applyFill="1" applyBorder="1" applyAlignment="1" applyProtection="1">
      <alignment horizontal="left" wrapText="1"/>
      <protection locked="0"/>
    </xf>
    <xf numFmtId="0" fontId="40" fillId="0" borderId="39" xfId="0" applyFont="1" applyFill="1" applyBorder="1" applyAlignment="1" applyProtection="1">
      <alignment horizontal="center" vertical="center" wrapText="1"/>
      <protection hidden="1"/>
    </xf>
    <xf numFmtId="0" fontId="38" fillId="0" borderId="0" xfId="0" applyFont="1" applyFill="1" applyBorder="1" applyAlignment="1" applyProtection="1">
      <alignment horizontal="left"/>
      <protection locked="0" hidden="1"/>
    </xf>
    <xf numFmtId="0" fontId="38" fillId="0" borderId="42" xfId="0" applyFont="1" applyFill="1" applyBorder="1" applyAlignment="1" applyProtection="1">
      <alignment horizontal="center"/>
      <protection hidden="1"/>
    </xf>
    <xf numFmtId="166" fontId="38" fillId="0" borderId="0" xfId="0" applyNumberFormat="1" applyFont="1" applyFill="1" applyBorder="1" applyAlignment="1" applyProtection="1">
      <alignment wrapText="1"/>
      <protection locked="0"/>
    </xf>
    <xf numFmtId="166" fontId="38" fillId="0" borderId="0" xfId="0" applyNumberFormat="1" applyFont="1" applyFill="1" applyBorder="1" applyAlignment="1" applyProtection="1">
      <protection locked="0"/>
    </xf>
    <xf numFmtId="0" fontId="38" fillId="0" borderId="40" xfId="0" applyFont="1" applyFill="1" applyBorder="1" applyAlignment="1" applyProtection="1">
      <alignment horizontal="center"/>
      <protection hidden="1"/>
    </xf>
    <xf numFmtId="0" fontId="40" fillId="0" borderId="28" xfId="0" applyFont="1" applyFill="1" applyBorder="1" applyAlignment="1" applyProtection="1">
      <alignment horizontal="center" vertical="center" wrapText="1"/>
      <protection hidden="1"/>
    </xf>
    <xf numFmtId="2" fontId="38" fillId="17" borderId="34" xfId="0" applyNumberFormat="1" applyFont="1" applyFill="1" applyBorder="1" applyAlignment="1" applyProtection="1">
      <protection locked="0"/>
    </xf>
    <xf numFmtId="2" fontId="38" fillId="17" borderId="38" xfId="0" applyNumberFormat="1" applyFont="1" applyFill="1" applyBorder="1" applyAlignment="1" applyProtection="1">
      <protection locked="0"/>
    </xf>
    <xf numFmtId="2" fontId="38" fillId="17" borderId="33" xfId="0" applyNumberFormat="1" applyFont="1" applyFill="1" applyBorder="1" applyAlignment="1" applyProtection="1">
      <protection locked="0"/>
    </xf>
    <xf numFmtId="0" fontId="38" fillId="0" borderId="21" xfId="0" applyFont="1" applyFill="1" applyBorder="1" applyProtection="1">
      <protection hidden="1"/>
    </xf>
    <xf numFmtId="2" fontId="38" fillId="17" borderId="29" xfId="0" applyNumberFormat="1" applyFont="1" applyFill="1" applyBorder="1" applyAlignment="1" applyProtection="1">
      <protection locked="0"/>
    </xf>
    <xf numFmtId="0" fontId="38" fillId="0" borderId="37" xfId="0" applyFont="1" applyFill="1" applyBorder="1" applyProtection="1">
      <protection hidden="1"/>
    </xf>
    <xf numFmtId="0" fontId="38" fillId="17" borderId="25" xfId="0" applyFont="1" applyFill="1" applyBorder="1" applyAlignment="1" applyProtection="1">
      <alignment horizontal="right"/>
      <protection locked="0" hidden="1"/>
    </xf>
    <xf numFmtId="0" fontId="38" fillId="0" borderId="22" xfId="0" applyFont="1" applyFill="1" applyBorder="1" applyAlignment="1" applyProtection="1">
      <alignment horizontal="left" wrapText="1"/>
      <protection hidden="1"/>
    </xf>
    <xf numFmtId="0" fontId="38" fillId="0" borderId="34" xfId="0" applyFont="1" applyFill="1" applyBorder="1" applyAlignment="1" applyProtection="1">
      <alignment horizontal="left" wrapText="1"/>
      <protection hidden="1"/>
    </xf>
    <xf numFmtId="0" fontId="38" fillId="0" borderId="21" xfId="0" applyFont="1" applyFill="1" applyBorder="1" applyAlignment="1" applyProtection="1">
      <alignment wrapText="1"/>
      <protection hidden="1"/>
    </xf>
    <xf numFmtId="0" fontId="38" fillId="0" borderId="22" xfId="0" applyFont="1" applyFill="1" applyBorder="1" applyAlignment="1" applyProtection="1">
      <alignment wrapText="1"/>
      <protection hidden="1"/>
    </xf>
    <xf numFmtId="0" fontId="38" fillId="10" borderId="25" xfId="0" applyFont="1" applyFill="1" applyBorder="1" applyAlignment="1" applyProtection="1">
      <alignment horizontal="right"/>
      <protection hidden="1"/>
    </xf>
    <xf numFmtId="0" fontId="38" fillId="4" borderId="25" xfId="0" applyFont="1" applyFill="1" applyBorder="1" applyAlignment="1" applyProtection="1">
      <alignment horizontal="right"/>
      <protection hidden="1"/>
    </xf>
    <xf numFmtId="0" fontId="38" fillId="0" borderId="36" xfId="0" applyFont="1" applyFill="1" applyBorder="1" applyAlignment="1" applyProtection="1">
      <alignment horizontal="left" wrapText="1"/>
      <protection hidden="1"/>
    </xf>
    <xf numFmtId="0" fontId="38" fillId="17" borderId="35" xfId="0" applyFont="1" applyFill="1" applyBorder="1" applyAlignment="1" applyProtection="1">
      <alignment horizontal="right"/>
      <protection locked="0" hidden="1"/>
    </xf>
    <xf numFmtId="0" fontId="38" fillId="17" borderId="33" xfId="0" applyFont="1" applyFill="1" applyBorder="1" applyAlignment="1" applyProtection="1">
      <alignment horizontal="right"/>
      <protection locked="0" hidden="1"/>
    </xf>
    <xf numFmtId="0" fontId="38" fillId="17" borderId="29" xfId="0" applyFont="1" applyFill="1" applyBorder="1" applyAlignment="1" applyProtection="1">
      <alignment horizontal="right"/>
      <protection locked="0" hidden="1"/>
    </xf>
    <xf numFmtId="0" fontId="40" fillId="0" borderId="0" xfId="0" applyFont="1" applyAlignment="1" applyProtection="1">
      <alignment horizontal="center"/>
    </xf>
    <xf numFmtId="0" fontId="38" fillId="0" borderId="21" xfId="0" applyFont="1" applyBorder="1" applyProtection="1"/>
    <xf numFmtId="0" fontId="38" fillId="0" borderId="22" xfId="0" applyFont="1" applyBorder="1" applyProtection="1"/>
    <xf numFmtId="2" fontId="38" fillId="4" borderId="25" xfId="0" applyNumberFormat="1" applyFont="1" applyFill="1" applyBorder="1" applyProtection="1"/>
    <xf numFmtId="0" fontId="38" fillId="0" borderId="34" xfId="0" applyFont="1" applyBorder="1" applyProtection="1"/>
    <xf numFmtId="2" fontId="38" fillId="4" borderId="33" xfId="0" applyNumberFormat="1" applyFont="1" applyFill="1" applyBorder="1" applyProtection="1"/>
    <xf numFmtId="0" fontId="38" fillId="0" borderId="32" xfId="0" applyFont="1" applyBorder="1" applyProtection="1"/>
    <xf numFmtId="0" fontId="71" fillId="9" borderId="15" xfId="0" applyFont="1" applyFill="1" applyBorder="1"/>
    <xf numFmtId="0" fontId="0" fillId="9" borderId="0" xfId="0" applyFill="1"/>
    <xf numFmtId="0" fontId="1" fillId="9" borderId="0" xfId="0" applyFont="1" applyFill="1"/>
    <xf numFmtId="0" fontId="6" fillId="9" borderId="0" xfId="0" applyFont="1" applyFill="1"/>
    <xf numFmtId="2" fontId="0" fillId="9" borderId="0" xfId="0" applyNumberFormat="1" applyFill="1"/>
    <xf numFmtId="9" fontId="1" fillId="9" borderId="0" xfId="0" applyNumberFormat="1" applyFont="1" applyFill="1"/>
    <xf numFmtId="0" fontId="1" fillId="9" borderId="0" xfId="0" applyFont="1" applyFill="1" applyAlignment="1" applyProtection="1">
      <alignment wrapText="1"/>
      <protection locked="0"/>
    </xf>
    <xf numFmtId="0" fontId="1" fillId="9" borderId="0" xfId="0" applyFont="1" applyFill="1" applyProtection="1">
      <protection locked="0"/>
    </xf>
    <xf numFmtId="0" fontId="0" fillId="9" borderId="0" xfId="0" applyFill="1" applyAlignment="1" applyProtection="1">
      <alignment wrapText="1"/>
      <protection locked="0"/>
    </xf>
    <xf numFmtId="0" fontId="0" fillId="9" borderId="0" xfId="0" applyFill="1" applyAlignment="1">
      <alignment wrapText="1"/>
    </xf>
    <xf numFmtId="0" fontId="1" fillId="9" borderId="0" xfId="0" applyFont="1" applyFill="1" applyAlignment="1">
      <alignment wrapText="1"/>
    </xf>
    <xf numFmtId="2" fontId="1" fillId="9" borderId="0" xfId="0" applyNumberFormat="1" applyFont="1" applyFill="1" applyProtection="1">
      <protection locked="0"/>
    </xf>
    <xf numFmtId="1" fontId="0" fillId="9" borderId="0" xfId="0" applyNumberFormat="1" applyFill="1" applyAlignment="1">
      <alignment horizontal="center" wrapText="1"/>
    </xf>
    <xf numFmtId="166" fontId="0" fillId="9" borderId="0" xfId="0" applyNumberFormat="1" applyFill="1"/>
    <xf numFmtId="0" fontId="70" fillId="9" borderId="0" xfId="0" applyFont="1" applyFill="1" applyAlignment="1">
      <alignment horizontal="center" vertical="center" wrapText="1"/>
    </xf>
    <xf numFmtId="164" fontId="0" fillId="9" borderId="0" xfId="0" applyNumberFormat="1" applyFill="1"/>
    <xf numFmtId="164" fontId="0" fillId="9" borderId="0" xfId="0" applyNumberFormat="1" applyFill="1" applyAlignment="1" applyProtection="1">
      <alignment wrapText="1"/>
      <protection locked="0"/>
    </xf>
    <xf numFmtId="0" fontId="0" fillId="9" borderId="0" xfId="0" applyFill="1" applyProtection="1">
      <protection locked="0"/>
    </xf>
    <xf numFmtId="0" fontId="1" fillId="9" borderId="0" xfId="0" applyFont="1" applyFill="1" applyBorder="1"/>
    <xf numFmtId="1" fontId="35" fillId="9" borderId="0" xfId="0" applyNumberFormat="1" applyFont="1" applyFill="1" applyAlignment="1">
      <alignment horizontal="center" wrapText="1"/>
    </xf>
    <xf numFmtId="166" fontId="35" fillId="9" borderId="0" xfId="0" applyNumberFormat="1" applyFont="1" applyFill="1"/>
    <xf numFmtId="0" fontId="35" fillId="9" borderId="0" xfId="0" applyFont="1" applyFill="1" applyAlignment="1">
      <alignment horizontal="center" vertical="center" wrapText="1"/>
    </xf>
    <xf numFmtId="164" fontId="35" fillId="9" borderId="0" xfId="0" applyNumberFormat="1" applyFont="1" applyFill="1"/>
    <xf numFmtId="2" fontId="35" fillId="9" borderId="0" xfId="0" applyNumberFormat="1" applyFont="1" applyFill="1"/>
    <xf numFmtId="164" fontId="35" fillId="9" borderId="0" xfId="0" applyNumberFormat="1" applyFont="1" applyFill="1" applyAlignment="1" applyProtection="1">
      <alignment wrapText="1"/>
      <protection locked="0"/>
    </xf>
    <xf numFmtId="164" fontId="1" fillId="9" borderId="0" xfId="0" applyNumberFormat="1" applyFont="1" applyFill="1" applyProtection="1">
      <protection locked="0"/>
    </xf>
    <xf numFmtId="0" fontId="0" fillId="9" borderId="0" xfId="0" applyFont="1" applyFill="1" applyAlignment="1">
      <alignment wrapText="1"/>
    </xf>
    <xf numFmtId="0" fontId="0" fillId="9" borderId="1" xfId="0" applyFill="1" applyBorder="1" applyAlignment="1" applyProtection="1">
      <alignment wrapText="1"/>
    </xf>
    <xf numFmtId="169" fontId="6" fillId="9" borderId="1" xfId="0" applyNumberFormat="1" applyFont="1" applyFill="1" applyBorder="1"/>
    <xf numFmtId="169" fontId="1" fillId="9" borderId="1" xfId="0" applyNumberFormat="1" applyFont="1" applyFill="1" applyBorder="1"/>
    <xf numFmtId="0" fontId="1" fillId="0" borderId="0" xfId="0" applyFont="1"/>
    <xf numFmtId="2" fontId="1" fillId="0" borderId="0" xfId="0" applyNumberFormat="1" applyFont="1"/>
    <xf numFmtId="0" fontId="72" fillId="0" borderId="0" xfId="0" applyFont="1"/>
    <xf numFmtId="0" fontId="1" fillId="0" borderId="0" xfId="0" applyFont="1" applyFill="1"/>
    <xf numFmtId="164" fontId="0" fillId="0" borderId="0" xfId="0" applyNumberFormat="1"/>
    <xf numFmtId="0" fontId="1" fillId="0" borderId="0" xfId="0" applyFont="1" applyAlignment="1">
      <alignment wrapText="1"/>
    </xf>
    <xf numFmtId="2" fontId="0" fillId="4" borderId="1" xfId="0" applyNumberFormat="1" applyFill="1" applyBorder="1"/>
    <xf numFmtId="0" fontId="0" fillId="7" borderId="1" xfId="0" applyFill="1" applyBorder="1"/>
    <xf numFmtId="2" fontId="1" fillId="18" borderId="1" xfId="0" applyNumberFormat="1" applyFont="1" applyFill="1" applyBorder="1"/>
    <xf numFmtId="2" fontId="1" fillId="0" borderId="0" xfId="0" applyNumberFormat="1" applyFont="1" applyFill="1" applyBorder="1"/>
    <xf numFmtId="0" fontId="0" fillId="0" borderId="0" xfId="0" applyFill="1" applyAlignment="1">
      <alignment wrapText="1"/>
    </xf>
    <xf numFmtId="0" fontId="1" fillId="0" borderId="0" xfId="0" applyFont="1" applyFill="1" applyAlignment="1">
      <alignment wrapText="1"/>
    </xf>
    <xf numFmtId="2" fontId="0" fillId="0" borderId="0" xfId="0" applyNumberFormat="1" applyFill="1" applyBorder="1"/>
    <xf numFmtId="0" fontId="0" fillId="0" borderId="0" xfId="0" applyAlignment="1">
      <alignment wrapText="1"/>
    </xf>
    <xf numFmtId="0" fontId="0" fillId="0" borderId="0" xfId="0" applyAlignment="1">
      <alignment horizontal="right" wrapText="1"/>
    </xf>
    <xf numFmtId="1" fontId="0" fillId="0" borderId="0" xfId="0" applyNumberFormat="1" applyAlignment="1">
      <alignment horizontal="center" wrapText="1"/>
    </xf>
    <xf numFmtId="0" fontId="70" fillId="0" borderId="0" xfId="0" applyFont="1" applyAlignment="1">
      <alignment horizontal="center" vertical="center" wrapText="1"/>
    </xf>
    <xf numFmtId="166" fontId="0" fillId="0" borderId="0" xfId="0" applyNumberFormat="1"/>
    <xf numFmtId="0" fontId="74" fillId="0" borderId="0" xfId="0" applyFont="1" applyFill="1" applyAlignment="1" applyProtection="1">
      <alignment wrapText="1"/>
    </xf>
    <xf numFmtId="170" fontId="0" fillId="0" borderId="0" xfId="5" applyNumberFormat="1" applyFont="1"/>
    <xf numFmtId="0" fontId="0" fillId="0" borderId="1" xfId="0" applyBorder="1"/>
    <xf numFmtId="1" fontId="0" fillId="7" borderId="1" xfId="0" applyNumberFormat="1" applyFill="1" applyBorder="1"/>
    <xf numFmtId="9" fontId="1" fillId="18" borderId="1" xfId="5" applyFont="1" applyFill="1" applyBorder="1"/>
    <xf numFmtId="0" fontId="35" fillId="0" borderId="0" xfId="0" applyFont="1"/>
    <xf numFmtId="0" fontId="0" fillId="5" borderId="0" xfId="0" applyFill="1" applyAlignment="1" applyProtection="1">
      <protection locked="0"/>
    </xf>
    <xf numFmtId="0" fontId="1" fillId="0" borderId="0" xfId="3" applyFont="1" applyAlignment="1" applyProtection="1">
      <alignment horizontal="center"/>
    </xf>
    <xf numFmtId="0" fontId="38" fillId="0" borderId="0" xfId="0" applyFont="1" applyFill="1" applyAlignment="1" applyProtection="1">
      <alignment horizontal="left" wrapText="1"/>
    </xf>
    <xf numFmtId="0" fontId="38" fillId="0" borderId="0" xfId="0" applyFont="1" applyFill="1" applyBorder="1" applyAlignment="1" applyProtection="1">
      <alignment horizontal="left" wrapText="1"/>
    </xf>
    <xf numFmtId="0" fontId="75" fillId="0" borderId="0" xfId="0" applyFont="1" applyAlignment="1" applyProtection="1"/>
    <xf numFmtId="0" fontId="1" fillId="0" borderId="0" xfId="3" applyFont="1" applyFill="1" applyAlignment="1" applyProtection="1">
      <alignment horizontal="left"/>
    </xf>
    <xf numFmtId="0" fontId="35" fillId="0" borderId="0" xfId="0" applyFont="1" applyProtection="1"/>
    <xf numFmtId="0" fontId="1" fillId="0" borderId="0" xfId="0" applyFont="1" applyAlignment="1" applyProtection="1">
      <alignment horizontal="right"/>
    </xf>
    <xf numFmtId="2" fontId="1" fillId="10" borderId="0" xfId="0" applyNumberFormat="1" applyFont="1" applyFill="1" applyProtection="1"/>
    <xf numFmtId="1" fontId="1" fillId="10" borderId="0" xfId="0" applyNumberFormat="1" applyFont="1" applyFill="1" applyProtection="1"/>
    <xf numFmtId="0" fontId="76" fillId="0" borderId="0" xfId="3" applyFont="1" applyProtection="1"/>
    <xf numFmtId="164" fontId="76" fillId="0" borderId="0" xfId="3" applyNumberFormat="1" applyFont="1" applyProtection="1"/>
    <xf numFmtId="0" fontId="76" fillId="0" borderId="0" xfId="0" applyFont="1" applyProtection="1"/>
    <xf numFmtId="2" fontId="76" fillId="0" borderId="0" xfId="3" applyNumberFormat="1" applyFont="1" applyProtection="1"/>
    <xf numFmtId="2" fontId="39" fillId="4" borderId="1" xfId="7" applyNumberFormat="1" applyFont="1" applyFill="1" applyBorder="1" applyAlignment="1" applyProtection="1">
      <alignment horizontal="right" vertical="top" wrapText="1"/>
    </xf>
    <xf numFmtId="2" fontId="39" fillId="10" borderId="46" xfId="7" applyNumberFormat="1" applyFont="1" applyFill="1" applyBorder="1" applyAlignment="1" applyProtection="1">
      <alignment horizontal="right" vertical="top" wrapText="1"/>
    </xf>
    <xf numFmtId="0" fontId="39" fillId="10" borderId="1" xfId="7" applyFont="1" applyFill="1" applyBorder="1" applyAlignment="1" applyProtection="1">
      <alignment horizontal="left" vertical="top" wrapText="1"/>
    </xf>
    <xf numFmtId="0" fontId="1" fillId="8" borderId="0" xfId="0" applyFont="1" applyFill="1" applyAlignment="1" applyProtection="1">
      <alignment horizontal="left"/>
      <protection locked="0"/>
    </xf>
    <xf numFmtId="1" fontId="6" fillId="0" borderId="0" xfId="0" applyNumberFormat="1" applyFont="1" applyFill="1" applyProtection="1"/>
    <xf numFmtId="2" fontId="38" fillId="10" borderId="46" xfId="0" applyNumberFormat="1" applyFont="1" applyFill="1" applyBorder="1" applyProtection="1"/>
    <xf numFmtId="2" fontId="38" fillId="10" borderId="1" xfId="0" applyNumberFormat="1" applyFont="1" applyFill="1" applyBorder="1" applyProtection="1">
      <protection locked="0"/>
    </xf>
    <xf numFmtId="0" fontId="38" fillId="10" borderId="1" xfId="0" applyFont="1" applyFill="1" applyBorder="1" applyProtection="1">
      <protection locked="0"/>
    </xf>
    <xf numFmtId="0" fontId="38" fillId="7" borderId="1" xfId="0" applyFont="1" applyFill="1" applyBorder="1" applyAlignment="1" applyProtection="1">
      <alignment horizontal="right" wrapText="1"/>
    </xf>
    <xf numFmtId="0" fontId="40" fillId="0" borderId="0" xfId="0" applyFont="1" applyFill="1" applyBorder="1" applyAlignment="1" applyProtection="1">
      <alignment horizontal="center" vertical="center" wrapText="1"/>
      <protection hidden="1"/>
    </xf>
    <xf numFmtId="0" fontId="38" fillId="0" borderId="0" xfId="0" applyFont="1" applyFill="1" applyBorder="1" applyAlignment="1" applyProtection="1">
      <alignment horizontal="center"/>
      <protection hidden="1"/>
    </xf>
    <xf numFmtId="0" fontId="1" fillId="0" borderId="0" xfId="3" applyFont="1" applyBorder="1" applyProtection="1"/>
    <xf numFmtId="0" fontId="1" fillId="6" borderId="0" xfId="3" applyFont="1" applyFill="1" applyProtection="1"/>
    <xf numFmtId="0" fontId="1" fillId="0" borderId="0" xfId="3" applyFont="1"/>
    <xf numFmtId="0" fontId="1" fillId="5" borderId="0" xfId="3" applyFont="1" applyFill="1" applyAlignment="1" applyProtection="1">
      <alignment horizontal="center"/>
      <protection locked="0"/>
    </xf>
    <xf numFmtId="1" fontId="1" fillId="0" borderId="0" xfId="3" applyNumberFormat="1" applyFont="1" applyAlignment="1" applyProtection="1">
      <alignment horizontal="center"/>
    </xf>
    <xf numFmtId="1" fontId="1" fillId="4" borderId="0" xfId="3" applyNumberFormat="1" applyFont="1" applyFill="1" applyAlignment="1" applyProtection="1">
      <alignment horizontal="center"/>
    </xf>
    <xf numFmtId="0" fontId="1" fillId="5" borderId="0" xfId="3" applyFont="1" applyFill="1" applyProtection="1">
      <protection locked="0"/>
    </xf>
    <xf numFmtId="0" fontId="1" fillId="4" borderId="0" xfId="3" applyFont="1" applyFill="1"/>
    <xf numFmtId="0" fontId="1" fillId="0" borderId="0" xfId="3" applyFont="1" applyFill="1" applyProtection="1"/>
    <xf numFmtId="0" fontId="1" fillId="0" borderId="0" xfId="0" applyFont="1" applyAlignment="1" applyProtection="1">
      <alignment horizontal="center"/>
    </xf>
    <xf numFmtId="2" fontId="1" fillId="0" borderId="0" xfId="3" applyNumberFormat="1" applyFont="1" applyAlignment="1" applyProtection="1">
      <alignment horizontal="center"/>
    </xf>
    <xf numFmtId="2" fontId="1" fillId="0" borderId="0" xfId="3" applyNumberFormat="1" applyFont="1" applyFill="1" applyAlignment="1" applyProtection="1">
      <alignment horizontal="center"/>
    </xf>
    <xf numFmtId="2" fontId="1" fillId="0" borderId="0" xfId="3" applyNumberFormat="1" applyFont="1" applyFill="1" applyAlignment="1" applyProtection="1"/>
    <xf numFmtId="2" fontId="1" fillId="0" borderId="0" xfId="0" applyNumberFormat="1" applyFont="1" applyAlignment="1" applyProtection="1">
      <alignment horizontal="center"/>
    </xf>
    <xf numFmtId="2" fontId="1" fillId="0" borderId="0" xfId="3" applyNumberFormat="1" applyFont="1" applyProtection="1"/>
    <xf numFmtId="0" fontId="1" fillId="5" borderId="0" xfId="0" applyNumberFormat="1" applyFont="1" applyFill="1" applyAlignment="1" applyProtection="1">
      <alignment horizontal="right"/>
      <protection locked="0"/>
    </xf>
    <xf numFmtId="2" fontId="1" fillId="0" borderId="0" xfId="0" applyNumberFormat="1" applyFont="1" applyFill="1" applyAlignment="1" applyProtection="1">
      <alignment horizontal="right"/>
    </xf>
    <xf numFmtId="2" fontId="1" fillId="0" borderId="0" xfId="0" applyNumberFormat="1" applyFont="1" applyProtection="1"/>
    <xf numFmtId="0" fontId="1" fillId="0" borderId="0" xfId="0" applyNumberFormat="1" applyFont="1" applyFill="1" applyAlignment="1" applyProtection="1">
      <alignment horizontal="right"/>
    </xf>
    <xf numFmtId="1" fontId="1" fillId="0" borderId="0" xfId="0" applyNumberFormat="1" applyFont="1" applyProtection="1"/>
    <xf numFmtId="1" fontId="1" fillId="4" borderId="0" xfId="3" quotePrefix="1" applyNumberFormat="1" applyFont="1" applyFill="1" applyAlignment="1" applyProtection="1">
      <alignment horizontal="center"/>
    </xf>
    <xf numFmtId="0" fontId="1" fillId="0" borderId="0" xfId="3" quotePrefix="1" applyFont="1" applyProtection="1"/>
    <xf numFmtId="164" fontId="1" fillId="4" borderId="0" xfId="3" applyNumberFormat="1" applyFont="1" applyFill="1" applyAlignment="1" applyProtection="1">
      <alignment horizontal="center"/>
    </xf>
    <xf numFmtId="164" fontId="1" fillId="0" borderId="0" xfId="3" applyNumberFormat="1" applyFont="1" applyAlignment="1" applyProtection="1">
      <alignment horizontal="center"/>
    </xf>
    <xf numFmtId="0" fontId="1" fillId="0" borderId="0" xfId="3" applyFont="1" applyFill="1" applyAlignment="1" applyProtection="1">
      <alignment horizontal="center"/>
      <protection locked="0"/>
    </xf>
    <xf numFmtId="1" fontId="1" fillId="0" borderId="0" xfId="3" applyNumberFormat="1" applyFont="1" applyProtection="1"/>
    <xf numFmtId="0" fontId="1" fillId="5" borderId="0" xfId="3" applyNumberFormat="1" applyFont="1" applyFill="1" applyAlignment="1" applyProtection="1">
      <alignment horizontal="center"/>
      <protection locked="0"/>
    </xf>
    <xf numFmtId="2" fontId="1" fillId="0" borderId="0" xfId="3" applyNumberFormat="1" applyFont="1" applyFill="1" applyAlignment="1" applyProtection="1">
      <alignment horizontal="center"/>
      <protection locked="0"/>
    </xf>
    <xf numFmtId="0" fontId="1" fillId="7" borderId="0" xfId="3" applyFont="1" applyFill="1" applyAlignment="1" applyProtection="1">
      <alignment horizontal="center"/>
    </xf>
    <xf numFmtId="0" fontId="1" fillId="0" borderId="0" xfId="3" applyNumberFormat="1" applyFont="1" applyAlignment="1" applyProtection="1">
      <alignment horizontal="center"/>
    </xf>
    <xf numFmtId="164" fontId="1" fillId="0" borderId="0" xfId="3" applyNumberFormat="1" applyFont="1" applyFill="1" applyAlignment="1" applyProtection="1">
      <alignment horizontal="center"/>
    </xf>
    <xf numFmtId="2" fontId="1" fillId="4" borderId="0" xfId="3" applyNumberFormat="1" applyFont="1" applyFill="1" applyAlignment="1" applyProtection="1">
      <alignment horizontal="center"/>
    </xf>
    <xf numFmtId="1" fontId="1" fillId="0" borderId="0" xfId="3" applyNumberFormat="1" applyFont="1" applyFill="1" applyProtection="1"/>
    <xf numFmtId="166" fontId="1" fillId="4" borderId="0" xfId="3" applyNumberFormat="1" applyFont="1" applyFill="1" applyAlignment="1" applyProtection="1">
      <alignment horizontal="center"/>
    </xf>
    <xf numFmtId="166" fontId="1" fillId="0" borderId="0" xfId="3" applyNumberFormat="1" applyFont="1" applyProtection="1"/>
    <xf numFmtId="9" fontId="1" fillId="0" borderId="0" xfId="5" applyFont="1" applyProtection="1"/>
    <xf numFmtId="2" fontId="1" fillId="5" borderId="0" xfId="3" applyNumberFormat="1" applyFont="1" applyFill="1" applyAlignment="1" applyProtection="1">
      <alignment horizontal="center"/>
      <protection locked="0"/>
    </xf>
    <xf numFmtId="9" fontId="1" fillId="0" borderId="0" xfId="3" applyNumberFormat="1" applyFont="1" applyProtection="1"/>
    <xf numFmtId="0" fontId="1" fillId="0" borderId="3" xfId="0" applyFont="1" applyBorder="1" applyProtection="1"/>
    <xf numFmtId="0" fontId="1" fillId="0" borderId="4" xfId="0" applyFont="1" applyBorder="1" applyProtection="1"/>
    <xf numFmtId="0" fontId="1" fillId="0" borderId="6" xfId="0" applyFont="1" applyBorder="1" applyProtection="1"/>
    <xf numFmtId="0" fontId="1" fillId="0" borderId="0" xfId="0" applyFont="1" applyBorder="1"/>
    <xf numFmtId="0" fontId="1" fillId="0" borderId="5" xfId="0" applyFont="1" applyBorder="1"/>
    <xf numFmtId="2" fontId="1" fillId="7" borderId="0" xfId="0" applyNumberFormat="1" applyFont="1" applyFill="1" applyBorder="1"/>
    <xf numFmtId="166" fontId="1" fillId="0" borderId="0" xfId="0" applyNumberFormat="1" applyFont="1" applyBorder="1"/>
    <xf numFmtId="0" fontId="1" fillId="4" borderId="0" xfId="0" applyFont="1" applyFill="1" applyBorder="1"/>
    <xf numFmtId="2" fontId="1" fillId="0" borderId="0" xfId="0" applyNumberFormat="1" applyFont="1" applyBorder="1"/>
    <xf numFmtId="166" fontId="1" fillId="0" borderId="0" xfId="5" applyNumberFormat="1" applyFont="1" applyFill="1" applyBorder="1" applyAlignment="1" applyProtection="1">
      <alignment horizontal="center"/>
    </xf>
    <xf numFmtId="2" fontId="1" fillId="0" borderId="0" xfId="0" applyNumberFormat="1" applyFont="1" applyFill="1" applyBorder="1" applyAlignment="1" applyProtection="1">
      <alignment horizontal="center"/>
    </xf>
    <xf numFmtId="0" fontId="1" fillId="4" borderId="0" xfId="0" applyFont="1" applyFill="1" applyBorder="1" applyProtection="1"/>
    <xf numFmtId="0" fontId="1" fillId="7" borderId="0" xfId="0" applyFont="1" applyFill="1" applyBorder="1"/>
    <xf numFmtId="0" fontId="1" fillId="0" borderId="7" xfId="0" applyFont="1" applyBorder="1" applyProtection="1"/>
    <xf numFmtId="0" fontId="1" fillId="0" borderId="8" xfId="0" applyFont="1" applyBorder="1"/>
    <xf numFmtId="0" fontId="1" fillId="0" borderId="8" xfId="0" applyFont="1" applyBorder="1" applyProtection="1"/>
    <xf numFmtId="0" fontId="1" fillId="0" borderId="9" xfId="0" applyFont="1" applyBorder="1" applyProtection="1"/>
    <xf numFmtId="2" fontId="1" fillId="0" borderId="6" xfId="0" applyNumberFormat="1" applyFont="1" applyBorder="1" applyAlignment="1" applyProtection="1">
      <alignment horizontal="center"/>
    </xf>
    <xf numFmtId="2" fontId="1" fillId="0" borderId="9" xfId="0" applyNumberFormat="1" applyFont="1" applyBorder="1" applyAlignment="1" applyProtection="1">
      <alignment horizontal="center"/>
    </xf>
    <xf numFmtId="0" fontId="1" fillId="0" borderId="0" xfId="0" applyFont="1" applyFill="1" applyBorder="1"/>
    <xf numFmtId="0" fontId="1" fillId="0" borderId="0" xfId="0" applyFont="1" applyFill="1" applyBorder="1" applyAlignment="1">
      <alignment wrapText="1"/>
    </xf>
    <xf numFmtId="2" fontId="1" fillId="10" borderId="0" xfId="3" applyNumberFormat="1" applyFont="1" applyFill="1" applyProtection="1"/>
    <xf numFmtId="2" fontId="1" fillId="0" borderId="0" xfId="3" applyNumberFormat="1" applyFont="1" applyAlignment="1" applyProtection="1">
      <alignment horizontal="right"/>
    </xf>
    <xf numFmtId="166" fontId="1" fillId="10" borderId="0" xfId="3" applyNumberFormat="1" applyFont="1" applyFill="1" applyProtection="1"/>
    <xf numFmtId="1" fontId="1" fillId="10" borderId="0" xfId="3" applyNumberFormat="1" applyFont="1" applyFill="1" applyAlignment="1" applyProtection="1">
      <alignment horizontal="right" indent="1"/>
    </xf>
    <xf numFmtId="2" fontId="1" fillId="0" borderId="0" xfId="3" applyNumberFormat="1" applyFont="1" applyAlignment="1" applyProtection="1">
      <alignment horizontal="left"/>
    </xf>
    <xf numFmtId="164" fontId="1" fillId="0" borderId="0" xfId="3" applyNumberFormat="1" applyFont="1" applyProtection="1"/>
    <xf numFmtId="165" fontId="1" fillId="0" borderId="0" xfId="3" applyNumberFormat="1" applyFont="1" applyFill="1" applyAlignment="1" applyProtection="1">
      <alignment horizontal="center"/>
    </xf>
    <xf numFmtId="166" fontId="1" fillId="0" borderId="0" xfId="3" applyNumberFormat="1" applyFont="1" applyFill="1" applyAlignment="1" applyProtection="1">
      <alignment horizontal="center"/>
    </xf>
    <xf numFmtId="0" fontId="1" fillId="4" borderId="0" xfId="3" applyFont="1" applyFill="1" applyAlignment="1" applyProtection="1">
      <alignment horizontal="center"/>
    </xf>
    <xf numFmtId="1" fontId="1" fillId="0" borderId="0" xfId="3" quotePrefix="1" applyNumberFormat="1" applyFont="1" applyProtection="1"/>
    <xf numFmtId="1" fontId="1" fillId="0" borderId="0" xfId="0" quotePrefix="1" applyNumberFormat="1" applyFont="1" applyProtection="1"/>
    <xf numFmtId="0" fontId="1" fillId="0" borderId="17" xfId="3" applyFont="1" applyFill="1" applyBorder="1" applyProtection="1"/>
    <xf numFmtId="1" fontId="1" fillId="4" borderId="0" xfId="0" applyNumberFormat="1" applyFont="1" applyFill="1" applyAlignment="1" applyProtection="1">
      <alignment horizontal="center"/>
    </xf>
    <xf numFmtId="1" fontId="1" fillId="0" borderId="0" xfId="0" applyNumberFormat="1" applyFont="1" applyFill="1" applyAlignment="1" applyProtection="1">
      <alignment horizontal="center"/>
    </xf>
    <xf numFmtId="2" fontId="1" fillId="0" borderId="0" xfId="0" applyNumberFormat="1" applyFont="1" applyFill="1" applyAlignment="1" applyProtection="1">
      <alignment horizontal="center"/>
    </xf>
    <xf numFmtId="1" fontId="1" fillId="0" borderId="0" xfId="3" quotePrefix="1" applyNumberFormat="1" applyFont="1" applyAlignment="1" applyProtection="1">
      <alignment horizontal="center"/>
    </xf>
    <xf numFmtId="0" fontId="1" fillId="7" borderId="0" xfId="3" applyNumberFormat="1" applyFont="1" applyFill="1" applyAlignment="1" applyProtection="1">
      <alignment horizontal="center"/>
    </xf>
    <xf numFmtId="0" fontId="1" fillId="0" borderId="0" xfId="3" applyNumberFormat="1" applyFont="1" applyFill="1" applyAlignment="1" applyProtection="1">
      <alignment horizontal="center"/>
    </xf>
    <xf numFmtId="164" fontId="1" fillId="0" borderId="0" xfId="0" quotePrefix="1" applyNumberFormat="1" applyFont="1" applyAlignment="1" applyProtection="1">
      <alignment horizontal="center"/>
    </xf>
    <xf numFmtId="167" fontId="1" fillId="0" borderId="0" xfId="0" quotePrefix="1" applyNumberFormat="1" applyFont="1" applyFill="1" applyAlignment="1" applyProtection="1">
      <alignment horizontal="center"/>
    </xf>
    <xf numFmtId="2" fontId="1" fillId="0" borderId="0" xfId="0" quotePrefix="1" applyNumberFormat="1" applyFont="1" applyAlignment="1" applyProtection="1">
      <alignment horizontal="center"/>
    </xf>
    <xf numFmtId="2" fontId="1" fillId="0" borderId="0" xfId="0" quotePrefix="1" applyNumberFormat="1" applyFont="1" applyFill="1" applyAlignment="1" applyProtection="1">
      <alignment horizontal="center"/>
    </xf>
    <xf numFmtId="166" fontId="1" fillId="0" borderId="0" xfId="0" quotePrefix="1" applyNumberFormat="1" applyFont="1" applyAlignment="1" applyProtection="1">
      <alignment horizontal="center"/>
    </xf>
    <xf numFmtId="164" fontId="1" fillId="0" borderId="0" xfId="0" applyNumberFormat="1" applyFont="1" applyAlignment="1" applyProtection="1">
      <alignment horizontal="center"/>
    </xf>
    <xf numFmtId="0" fontId="1" fillId="0" borderId="0" xfId="3" applyNumberFormat="1" applyFont="1" applyProtection="1"/>
    <xf numFmtId="0" fontId="1" fillId="0" borderId="0" xfId="4" applyFont="1" applyProtection="1"/>
    <xf numFmtId="164" fontId="1" fillId="0" borderId="0" xfId="4" applyNumberFormat="1" applyFont="1" applyProtection="1"/>
    <xf numFmtId="2" fontId="1" fillId="0" borderId="0" xfId="4" applyNumberFormat="1" applyFont="1" applyProtection="1"/>
    <xf numFmtId="0" fontId="1" fillId="0" borderId="0" xfId="4" applyFont="1" applyFill="1" applyProtection="1"/>
    <xf numFmtId="1" fontId="1" fillId="0" borderId="0" xfId="0" applyNumberFormat="1" applyFont="1" applyFill="1" applyProtection="1"/>
    <xf numFmtId="0" fontId="1" fillId="5" borderId="0" xfId="0" applyFont="1" applyFill="1" applyAlignment="1" applyProtection="1">
      <alignment horizontal="center"/>
      <protection locked="0"/>
    </xf>
    <xf numFmtId="0" fontId="1" fillId="0" borderId="0" xfId="0" applyFont="1" applyFill="1" applyAlignment="1" applyProtection="1">
      <alignment horizontal="center"/>
    </xf>
    <xf numFmtId="2" fontId="1" fillId="4" borderId="0" xfId="0" applyNumberFormat="1" applyFont="1" applyFill="1" applyAlignment="1" applyProtection="1">
      <alignment horizontal="center"/>
    </xf>
    <xf numFmtId="1" fontId="1" fillId="0" borderId="0" xfId="0" applyNumberFormat="1" applyFont="1" applyAlignment="1" applyProtection="1">
      <alignment horizontal="center"/>
    </xf>
    <xf numFmtId="1" fontId="1" fillId="5" borderId="0" xfId="0" applyNumberFormat="1" applyFont="1" applyFill="1" applyAlignment="1" applyProtection="1">
      <alignment horizontal="center"/>
      <protection locked="0"/>
    </xf>
    <xf numFmtId="1" fontId="1" fillId="8" borderId="0" xfId="0" applyNumberFormat="1" applyFont="1" applyFill="1" applyAlignment="1" applyProtection="1">
      <alignment horizontal="center"/>
      <protection locked="0"/>
    </xf>
    <xf numFmtId="1" fontId="1" fillId="5" borderId="0" xfId="0" applyNumberFormat="1" applyFont="1" applyFill="1" applyAlignment="1" applyProtection="1">
      <alignment horizontal="right"/>
      <protection locked="0"/>
    </xf>
    <xf numFmtId="2" fontId="1" fillId="0" borderId="0" xfId="0" applyNumberFormat="1" applyFont="1" applyFill="1" applyProtection="1"/>
    <xf numFmtId="164" fontId="1" fillId="0" borderId="0" xfId="0" applyNumberFormat="1" applyFont="1" applyFill="1" applyAlignment="1" applyProtection="1">
      <alignment horizontal="center"/>
    </xf>
    <xf numFmtId="0" fontId="1" fillId="0" borderId="0" xfId="0" applyFont="1" applyFill="1" applyAlignment="1" applyProtection="1">
      <alignment vertical="center"/>
    </xf>
    <xf numFmtId="3" fontId="1" fillId="0" borderId="0" xfId="0" applyNumberFormat="1" applyFont="1" applyProtection="1"/>
    <xf numFmtId="0" fontId="1" fillId="10" borderId="0" xfId="0" applyFont="1" applyFill="1" applyProtection="1"/>
    <xf numFmtId="0" fontId="1" fillId="0" borderId="2" xfId="0" applyFont="1" applyBorder="1" applyProtection="1"/>
    <xf numFmtId="0" fontId="1" fillId="0" borderId="3" xfId="0" applyFont="1" applyFill="1" applyBorder="1" applyAlignment="1" applyProtection="1"/>
    <xf numFmtId="0" fontId="1" fillId="0" borderId="0" xfId="0" applyFont="1" applyBorder="1" applyAlignment="1" applyProtection="1">
      <alignment horizontal="center"/>
    </xf>
    <xf numFmtId="0" fontId="1" fillId="0" borderId="6" xfId="0" applyFont="1" applyBorder="1" applyAlignment="1" applyProtection="1">
      <alignment horizontal="center"/>
    </xf>
    <xf numFmtId="1" fontId="1" fillId="0" borderId="0" xfId="0" applyNumberFormat="1" applyFont="1" applyFill="1" applyBorder="1" applyProtection="1"/>
    <xf numFmtId="166" fontId="1" fillId="0" borderId="6" xfId="0" applyNumberFormat="1" applyFont="1" applyFill="1" applyBorder="1" applyAlignment="1" applyProtection="1">
      <alignment horizontal="center"/>
    </xf>
    <xf numFmtId="166" fontId="1" fillId="0" borderId="0" xfId="0" applyNumberFormat="1" applyFont="1" applyProtection="1"/>
    <xf numFmtId="3" fontId="1" fillId="0" borderId="0" xfId="0" applyNumberFormat="1" applyFont="1" applyBorder="1" applyProtection="1"/>
    <xf numFmtId="0" fontId="1" fillId="10" borderId="0" xfId="0" applyFont="1" applyFill="1" applyBorder="1" applyAlignment="1" applyProtection="1"/>
    <xf numFmtId="0" fontId="1" fillId="0" borderId="0" xfId="0" applyFont="1" applyFill="1" applyBorder="1" applyAlignment="1" applyProtection="1"/>
    <xf numFmtId="2" fontId="1" fillId="7" borderId="0" xfId="0" applyNumberFormat="1" applyFont="1" applyFill="1" applyBorder="1" applyAlignment="1" applyProtection="1">
      <alignment horizontal="center"/>
    </xf>
    <xf numFmtId="166" fontId="1" fillId="7" borderId="6" xfId="0" applyNumberFormat="1" applyFont="1" applyFill="1" applyBorder="1" applyAlignment="1" applyProtection="1">
      <alignment horizontal="center"/>
    </xf>
    <xf numFmtId="2" fontId="1" fillId="0" borderId="0" xfId="0" applyNumberFormat="1" applyFont="1" applyFill="1" applyAlignment="1" applyProtection="1">
      <alignment horizontal="left"/>
    </xf>
    <xf numFmtId="1" fontId="1" fillId="0" borderId="0" xfId="0" applyNumberFormat="1" applyFont="1" applyFill="1" applyAlignment="1" applyProtection="1">
      <alignment horizontal="left"/>
    </xf>
    <xf numFmtId="0" fontId="1" fillId="0" borderId="8" xfId="0" applyFont="1" applyFill="1" applyBorder="1" applyProtection="1"/>
    <xf numFmtId="2" fontId="1" fillId="7" borderId="8" xfId="0" applyNumberFormat="1" applyFont="1" applyFill="1" applyBorder="1" applyAlignment="1" applyProtection="1">
      <alignment horizontal="center"/>
    </xf>
    <xf numFmtId="166" fontId="1" fillId="7" borderId="9" xfId="0" applyNumberFormat="1" applyFont="1" applyFill="1" applyBorder="1" applyAlignment="1" applyProtection="1">
      <alignment horizontal="center"/>
    </xf>
    <xf numFmtId="0" fontId="1" fillId="0" borderId="3" xfId="0" applyFont="1" applyFill="1" applyBorder="1" applyProtection="1"/>
    <xf numFmtId="2" fontId="1" fillId="0" borderId="3" xfId="0" applyNumberFormat="1" applyFont="1" applyFill="1" applyBorder="1" applyAlignment="1" applyProtection="1">
      <alignment horizontal="center"/>
    </xf>
    <xf numFmtId="0" fontId="1" fillId="0" borderId="5" xfId="0" applyFont="1" applyBorder="1" applyAlignment="1" applyProtection="1">
      <alignment horizontal="left"/>
    </xf>
    <xf numFmtId="0" fontId="1" fillId="0" borderId="0" xfId="0" applyFont="1" applyBorder="1" applyAlignment="1" applyProtection="1">
      <alignment horizontal="left"/>
    </xf>
    <xf numFmtId="0" fontId="1" fillId="10" borderId="0" xfId="0" applyFont="1" applyFill="1" applyBorder="1" applyAlignment="1" applyProtection="1">
      <alignment horizontal="left"/>
    </xf>
    <xf numFmtId="0" fontId="1" fillId="5" borderId="0" xfId="0" applyNumberFormat="1" applyFont="1" applyFill="1" applyBorder="1" applyAlignment="1" applyProtection="1">
      <alignment horizontal="center"/>
      <protection locked="0"/>
    </xf>
    <xf numFmtId="0" fontId="1" fillId="0" borderId="5" xfId="0" applyFont="1" applyFill="1" applyBorder="1" applyAlignment="1" applyProtection="1">
      <alignment horizontal="left" vertical="center"/>
    </xf>
    <xf numFmtId="0" fontId="1" fillId="5" borderId="0" xfId="0" applyFont="1" applyFill="1" applyBorder="1" applyAlignment="1" applyProtection="1">
      <alignment horizontal="left"/>
      <protection locked="0"/>
    </xf>
    <xf numFmtId="0" fontId="1" fillId="0" borderId="0" xfId="0" applyNumberFormat="1" applyFont="1" applyFill="1" applyBorder="1" applyAlignment="1" applyProtection="1">
      <alignment horizontal="center"/>
    </xf>
    <xf numFmtId="2" fontId="1" fillId="0" borderId="5" xfId="0" applyNumberFormat="1" applyFont="1" applyFill="1" applyBorder="1" applyAlignment="1" applyProtection="1">
      <alignment horizontal="left"/>
    </xf>
    <xf numFmtId="1" fontId="1" fillId="0" borderId="0" xfId="0" applyNumberFormat="1" applyFont="1" applyFill="1" applyBorder="1" applyAlignment="1" applyProtection="1">
      <alignment horizontal="left"/>
    </xf>
    <xf numFmtId="166" fontId="1" fillId="0" borderId="0" xfId="0" applyNumberFormat="1" applyFont="1" applyFill="1" applyBorder="1" applyAlignment="1" applyProtection="1">
      <alignment horizontal="center"/>
    </xf>
    <xf numFmtId="0" fontId="1" fillId="0" borderId="7" xfId="0" applyFont="1" applyFill="1" applyBorder="1" applyProtection="1"/>
    <xf numFmtId="0" fontId="1" fillId="0" borderId="8" xfId="0" applyFont="1" applyBorder="1" applyAlignment="1" applyProtection="1">
      <alignment horizontal="left"/>
    </xf>
    <xf numFmtId="0" fontId="1" fillId="10" borderId="8" xfId="0" applyFont="1" applyFill="1" applyBorder="1" applyAlignment="1" applyProtection="1">
      <alignment horizontal="left"/>
    </xf>
    <xf numFmtId="0" fontId="1" fillId="5" borderId="8" xfId="0" applyNumberFormat="1" applyFont="1" applyFill="1" applyBorder="1" applyAlignment="1" applyProtection="1">
      <alignment horizontal="center"/>
      <protection locked="0"/>
    </xf>
    <xf numFmtId="0" fontId="1" fillId="5" borderId="9" xfId="0" applyNumberFormat="1" applyFont="1" applyFill="1" applyBorder="1" applyAlignment="1" applyProtection="1">
      <alignment horizontal="center"/>
      <protection locked="0"/>
    </xf>
    <xf numFmtId="3" fontId="1" fillId="4" borderId="0" xfId="0" applyNumberFormat="1" applyFont="1" applyFill="1" applyAlignment="1" applyProtection="1">
      <alignment horizontal="center"/>
    </xf>
    <xf numFmtId="3" fontId="1" fillId="8" borderId="0" xfId="0" applyNumberFormat="1" applyFont="1" applyFill="1" applyAlignment="1" applyProtection="1">
      <alignment horizontal="center"/>
      <protection locked="0"/>
    </xf>
    <xf numFmtId="3" fontId="1" fillId="5" borderId="0" xfId="0" applyNumberFormat="1" applyFont="1" applyFill="1" applyAlignment="1" applyProtection="1">
      <alignment horizontal="center"/>
      <protection locked="0"/>
    </xf>
    <xf numFmtId="4" fontId="1" fillId="0" borderId="0" xfId="0" applyNumberFormat="1" applyFont="1" applyProtection="1"/>
    <xf numFmtId="4" fontId="1" fillId="0" borderId="0" xfId="0" applyNumberFormat="1" applyFont="1" applyFill="1" applyProtection="1"/>
    <xf numFmtId="3" fontId="1" fillId="0" borderId="0" xfId="0" applyNumberFormat="1" applyFont="1" applyFill="1" applyProtection="1"/>
    <xf numFmtId="0" fontId="1" fillId="0" borderId="0" xfId="0" applyFont="1" applyFill="1" applyAlignment="1" applyProtection="1"/>
    <xf numFmtId="166" fontId="1" fillId="0" borderId="0" xfId="0" applyNumberFormat="1" applyFont="1" applyFill="1" applyAlignment="1" applyProtection="1">
      <alignment horizontal="center"/>
    </xf>
    <xf numFmtId="0" fontId="1" fillId="7" borderId="0" xfId="0" applyNumberFormat="1" applyFont="1" applyFill="1" applyAlignment="1" applyProtection="1">
      <alignment horizontal="center"/>
    </xf>
    <xf numFmtId="0" fontId="1" fillId="0" borderId="0" xfId="0" applyNumberFormat="1" applyFont="1" applyFill="1" applyAlignment="1" applyProtection="1">
      <alignment horizontal="center"/>
    </xf>
    <xf numFmtId="2" fontId="1" fillId="7" borderId="0" xfId="0" applyNumberFormat="1" applyFont="1" applyFill="1" applyAlignment="1" applyProtection="1">
      <alignment horizontal="center"/>
    </xf>
    <xf numFmtId="166" fontId="1" fillId="7" borderId="0" xfId="0" applyNumberFormat="1" applyFont="1" applyFill="1" applyAlignment="1" applyProtection="1">
      <alignment horizontal="center"/>
    </xf>
    <xf numFmtId="0" fontId="1" fillId="5" borderId="0" xfId="0" applyNumberFormat="1" applyFont="1" applyFill="1" applyAlignment="1" applyProtection="1">
      <alignment horizontal="center"/>
      <protection locked="0"/>
    </xf>
    <xf numFmtId="2" fontId="1" fillId="5" borderId="0" xfId="0" applyNumberFormat="1" applyFont="1" applyFill="1" applyAlignment="1" applyProtection="1">
      <alignment horizontal="center"/>
      <protection locked="0"/>
    </xf>
    <xf numFmtId="168" fontId="1" fillId="4" borderId="0" xfId="0" applyNumberFormat="1" applyFont="1" applyFill="1" applyAlignment="1" applyProtection="1">
      <alignment horizontal="center"/>
    </xf>
    <xf numFmtId="3" fontId="1" fillId="0" borderId="0" xfId="0" applyNumberFormat="1" applyFont="1" applyFill="1" applyAlignment="1" applyProtection="1">
      <alignment horizontal="center"/>
    </xf>
    <xf numFmtId="168" fontId="1" fillId="0" borderId="0" xfId="0" applyNumberFormat="1" applyFont="1" applyFill="1" applyAlignment="1" applyProtection="1">
      <alignment horizontal="center"/>
    </xf>
    <xf numFmtId="0" fontId="1" fillId="0" borderId="0" xfId="0" applyFont="1" applyFill="1" applyBorder="1" applyAlignment="1" applyProtection="1">
      <alignment vertical="center"/>
    </xf>
    <xf numFmtId="0" fontId="1" fillId="0" borderId="0" xfId="0" applyFont="1" applyAlignment="1" applyProtection="1">
      <alignment horizontal="center" vertical="top" wrapText="1"/>
    </xf>
    <xf numFmtId="4" fontId="1" fillId="0" borderId="0" xfId="0" applyNumberFormat="1" applyFont="1" applyFill="1" applyAlignment="1" applyProtection="1">
      <alignment horizontal="center"/>
    </xf>
    <xf numFmtId="4" fontId="1" fillId="4" borderId="0" xfId="0" applyNumberFormat="1" applyFont="1" applyFill="1" applyAlignment="1" applyProtection="1">
      <alignment horizontal="center"/>
    </xf>
    <xf numFmtId="0" fontId="1" fillId="4" borderId="0" xfId="0" applyFont="1" applyFill="1" applyAlignment="1" applyProtection="1">
      <alignment horizontal="center"/>
    </xf>
    <xf numFmtId="0" fontId="1" fillId="0" borderId="0" xfId="0" applyFont="1" applyAlignment="1" applyProtection="1">
      <alignment vertical="top"/>
    </xf>
    <xf numFmtId="0" fontId="1" fillId="0" borderId="0" xfId="0" applyFont="1" applyAlignment="1" applyProtection="1"/>
    <xf numFmtId="0" fontId="1" fillId="0" borderId="0" xfId="0" applyFont="1" applyAlignment="1" applyProtection="1">
      <alignment horizontal="right" wrapText="1"/>
    </xf>
    <xf numFmtId="0" fontId="1" fillId="0" borderId="0" xfId="0" applyFont="1" applyAlignment="1" applyProtection="1">
      <alignment wrapText="1"/>
    </xf>
    <xf numFmtId="0" fontId="1" fillId="0" borderId="0" xfId="0" applyFont="1" applyFill="1" applyAlignment="1" applyProtection="1">
      <alignment horizontal="right" wrapText="1"/>
    </xf>
    <xf numFmtId="0" fontId="1" fillId="0" borderId="0" xfId="0" applyFont="1" applyAlignment="1">
      <alignment horizontal="center"/>
    </xf>
    <xf numFmtId="0" fontId="35" fillId="0" borderId="0" xfId="3" applyFont="1" applyProtection="1"/>
    <xf numFmtId="0" fontId="35" fillId="0" borderId="0" xfId="3" applyFont="1" applyAlignment="1" applyProtection="1">
      <alignment horizontal="left"/>
    </xf>
    <xf numFmtId="9" fontId="0" fillId="9" borderId="0" xfId="5" applyFont="1" applyFill="1"/>
    <xf numFmtId="9" fontId="39" fillId="10" borderId="1" xfId="5" applyFont="1" applyFill="1" applyBorder="1" applyAlignment="1" applyProtection="1">
      <alignment horizontal="left" vertical="top" wrapText="1"/>
      <protection locked="0"/>
    </xf>
    <xf numFmtId="0" fontId="39" fillId="10" borderId="1" xfId="7" applyFont="1" applyFill="1" applyBorder="1" applyAlignment="1" applyProtection="1">
      <alignment horizontal="left" vertical="top" wrapText="1"/>
      <protection locked="0"/>
    </xf>
    <xf numFmtId="0" fontId="39" fillId="8" borderId="47" xfId="7" applyFont="1" applyFill="1" applyBorder="1" applyAlignment="1" applyProtection="1">
      <alignment horizontal="left" vertical="top" wrapText="1"/>
      <protection locked="0"/>
    </xf>
    <xf numFmtId="0" fontId="77" fillId="0" borderId="0" xfId="0" applyFont="1" applyAlignment="1" applyProtection="1">
      <alignment horizontal="center"/>
    </xf>
    <xf numFmtId="0" fontId="77" fillId="0" borderId="0" xfId="0" applyFont="1" applyAlignment="1">
      <alignment horizontal="center"/>
    </xf>
    <xf numFmtId="0" fontId="6" fillId="0" borderId="2" xfId="0" applyFont="1" applyBorder="1"/>
    <xf numFmtId="0" fontId="0" fillId="0" borderId="3" xfId="0" applyBorder="1"/>
    <xf numFmtId="0" fontId="8" fillId="0" borderId="3" xfId="0" applyFont="1" applyBorder="1"/>
    <xf numFmtId="3" fontId="1" fillId="0" borderId="0" xfId="0" applyNumberFormat="1" applyFont="1" applyFill="1" applyBorder="1" applyProtection="1"/>
    <xf numFmtId="164" fontId="1" fillId="0" borderId="0" xfId="0" applyNumberFormat="1" applyFont="1" applyFill="1" applyBorder="1" applyProtection="1"/>
    <xf numFmtId="3" fontId="1" fillId="0" borderId="0" xfId="0" applyNumberFormat="1" applyFont="1" applyFill="1" applyBorder="1" applyAlignment="1" applyProtection="1">
      <alignment wrapText="1"/>
    </xf>
    <xf numFmtId="0" fontId="1" fillId="0" borderId="0" xfId="0" quotePrefix="1" applyFont="1" applyBorder="1"/>
    <xf numFmtId="1" fontId="1" fillId="5" borderId="0" xfId="0" applyNumberFormat="1" applyFont="1" applyFill="1" applyBorder="1" applyProtection="1"/>
    <xf numFmtId="0" fontId="1" fillId="0" borderId="0" xfId="0" quotePrefix="1" applyFont="1" applyBorder="1" applyProtection="1"/>
    <xf numFmtId="168" fontId="0" fillId="0" borderId="0" xfId="0" applyNumberFormat="1" applyBorder="1"/>
    <xf numFmtId="168" fontId="1" fillId="0" borderId="0" xfId="0" applyNumberFormat="1" applyFont="1" applyFill="1" applyBorder="1" applyProtection="1"/>
    <xf numFmtId="168" fontId="1" fillId="4" borderId="0" xfId="0" applyNumberFormat="1" applyFont="1" applyFill="1" applyBorder="1" applyProtection="1"/>
    <xf numFmtId="0" fontId="0" fillId="0" borderId="6" xfId="0" applyBorder="1"/>
    <xf numFmtId="0" fontId="0" fillId="0" borderId="7" xfId="0" applyBorder="1"/>
    <xf numFmtId="0" fontId="0" fillId="0" borderId="8" xfId="0" applyBorder="1"/>
    <xf numFmtId="0" fontId="0" fillId="0" borderId="9" xfId="0" applyBorder="1"/>
    <xf numFmtId="0" fontId="1" fillId="0" borderId="3" xfId="0" applyFont="1" applyFill="1" applyBorder="1" applyAlignment="1" applyProtection="1">
      <alignment vertical="center"/>
    </xf>
    <xf numFmtId="0" fontId="7" fillId="0" borderId="3" xfId="0" applyFont="1" applyFill="1" applyBorder="1" applyAlignment="1" applyProtection="1">
      <alignment vertical="center"/>
    </xf>
    <xf numFmtId="168" fontId="0" fillId="0" borderId="0" xfId="0" applyNumberFormat="1" applyBorder="1" applyProtection="1"/>
    <xf numFmtId="0" fontId="1" fillId="13" borderId="0" xfId="3" applyFont="1" applyFill="1" applyProtection="1"/>
    <xf numFmtId="2" fontId="1" fillId="13" borderId="0" xfId="3" applyNumberFormat="1" applyFont="1" applyFill="1" applyProtection="1"/>
    <xf numFmtId="1" fontId="1" fillId="13" borderId="0" xfId="3" applyNumberFormat="1" applyFont="1" applyFill="1" applyProtection="1"/>
    <xf numFmtId="0" fontId="1" fillId="13" borderId="0" xfId="0" applyFont="1" applyFill="1" applyProtection="1"/>
    <xf numFmtId="0" fontId="1" fillId="13" borderId="0" xfId="3" applyNumberFormat="1" applyFont="1" applyFill="1" applyAlignment="1" applyProtection="1"/>
    <xf numFmtId="164" fontId="1" fillId="13" borderId="0" xfId="3" applyNumberFormat="1" applyFont="1" applyFill="1" applyProtection="1"/>
    <xf numFmtId="166" fontId="1" fillId="13" borderId="0" xfId="3" applyNumberFormat="1" applyFont="1" applyFill="1" applyProtection="1"/>
    <xf numFmtId="0" fontId="1" fillId="13" borderId="0" xfId="3" applyFont="1" applyFill="1"/>
    <xf numFmtId="0" fontId="1" fillId="13" borderId="0" xfId="0" applyFont="1" applyFill="1"/>
    <xf numFmtId="2" fontId="0" fillId="13" borderId="0" xfId="0" applyNumberFormat="1" applyFill="1"/>
    <xf numFmtId="0" fontId="0" fillId="13" borderId="0" xfId="0" applyFill="1"/>
    <xf numFmtId="2" fontId="1" fillId="13" borderId="0" xfId="0" applyNumberFormat="1" applyFont="1" applyFill="1"/>
    <xf numFmtId="0" fontId="1" fillId="13" borderId="0" xfId="3" applyNumberFormat="1" applyFont="1" applyFill="1"/>
    <xf numFmtId="2" fontId="1" fillId="13" borderId="0" xfId="3" applyNumberFormat="1" applyFont="1" applyFill="1"/>
    <xf numFmtId="1" fontId="6" fillId="13" borderId="0" xfId="3" quotePrefix="1" applyNumberFormat="1" applyFont="1" applyFill="1"/>
    <xf numFmtId="1" fontId="6" fillId="13" borderId="0" xfId="3" applyNumberFormat="1" applyFont="1" applyFill="1"/>
    <xf numFmtId="2" fontId="6" fillId="13" borderId="0" xfId="3" applyNumberFormat="1" applyFont="1" applyFill="1"/>
    <xf numFmtId="0" fontId="5" fillId="13" borderId="0" xfId="0" applyFont="1" applyFill="1"/>
    <xf numFmtId="0" fontId="2" fillId="13" borderId="0" xfId="3" applyFill="1" applyProtection="1"/>
    <xf numFmtId="0" fontId="0" fillId="13" borderId="0" xfId="0" applyFill="1" applyProtection="1"/>
    <xf numFmtId="2" fontId="0" fillId="13" borderId="0" xfId="0" applyNumberFormat="1" applyFill="1" applyProtection="1"/>
    <xf numFmtId="165" fontId="1" fillId="13" borderId="0" xfId="3" applyNumberFormat="1" applyFont="1" applyFill="1" applyProtection="1"/>
    <xf numFmtId="1" fontId="1" fillId="13" borderId="0" xfId="3" quotePrefix="1" applyNumberFormat="1" applyFont="1" applyFill="1" applyProtection="1"/>
    <xf numFmtId="1" fontId="6" fillId="13" borderId="0" xfId="3" applyNumberFormat="1" applyFont="1" applyFill="1" applyProtection="1"/>
    <xf numFmtId="1" fontId="1" fillId="13" borderId="0" xfId="0" applyNumberFormat="1" applyFont="1" applyFill="1" applyProtection="1"/>
    <xf numFmtId="0" fontId="35" fillId="13" borderId="0" xfId="3" applyFont="1" applyFill="1" applyProtection="1"/>
    <xf numFmtId="166" fontId="0" fillId="13" borderId="0" xfId="0" applyNumberFormat="1" applyFill="1" applyProtection="1"/>
    <xf numFmtId="1" fontId="0" fillId="13" borderId="0" xfId="0" applyNumberFormat="1" applyFill="1" applyProtection="1"/>
    <xf numFmtId="0" fontId="2" fillId="13" borderId="0" xfId="3" applyFill="1"/>
    <xf numFmtId="0" fontId="2" fillId="13" borderId="0" xfId="3" applyFont="1" applyFill="1"/>
    <xf numFmtId="2" fontId="1" fillId="13" borderId="0" xfId="0" applyNumberFormat="1" applyFont="1" applyFill="1" applyAlignment="1" applyProtection="1">
      <alignment horizontal="center"/>
    </xf>
    <xf numFmtId="1" fontId="2" fillId="13" borderId="0" xfId="3" applyNumberFormat="1" applyFill="1" applyAlignment="1" applyProtection="1">
      <alignment horizontal="center"/>
    </xf>
    <xf numFmtId="1" fontId="1" fillId="13" borderId="0" xfId="3" applyNumberFormat="1" applyFont="1" applyFill="1"/>
    <xf numFmtId="164" fontId="2" fillId="13" borderId="0" xfId="3" applyNumberFormat="1" applyFill="1"/>
    <xf numFmtId="1" fontId="1" fillId="13" borderId="0" xfId="3" quotePrefix="1" applyNumberFormat="1" applyFont="1" applyFill="1"/>
    <xf numFmtId="167" fontId="1" fillId="13" borderId="0" xfId="0" quotePrefix="1" applyNumberFormat="1" applyFont="1" applyFill="1"/>
    <xf numFmtId="2" fontId="1" fillId="13" borderId="0" xfId="0" quotePrefix="1" applyNumberFormat="1" applyFont="1" applyFill="1"/>
    <xf numFmtId="166" fontId="1" fillId="13" borderId="0" xfId="0" quotePrefix="1" applyNumberFormat="1" applyFont="1" applyFill="1"/>
    <xf numFmtId="0" fontId="2" fillId="13" borderId="0" xfId="4" applyFill="1"/>
    <xf numFmtId="1" fontId="0" fillId="13" borderId="0" xfId="0" applyNumberFormat="1" applyFill="1"/>
    <xf numFmtId="0" fontId="5" fillId="13" borderId="0" xfId="3" applyFont="1" applyFill="1"/>
    <xf numFmtId="164" fontId="1" fillId="13" borderId="0" xfId="0" quotePrefix="1" applyNumberFormat="1" applyFont="1" applyFill="1"/>
    <xf numFmtId="1" fontId="1" fillId="13" borderId="0" xfId="0" applyNumberFormat="1" applyFont="1" applyFill="1"/>
    <xf numFmtId="1" fontId="6" fillId="13" borderId="0" xfId="0" applyNumberFormat="1" applyFont="1" applyFill="1" applyProtection="1"/>
    <xf numFmtId="0" fontId="1" fillId="13" borderId="0" xfId="0" applyNumberFormat="1" applyFont="1" applyFill="1" applyProtection="1"/>
    <xf numFmtId="2" fontId="1" fillId="13" borderId="0" xfId="0" applyNumberFormat="1" applyFont="1" applyFill="1" applyProtection="1"/>
    <xf numFmtId="166" fontId="1" fillId="13" borderId="0" xfId="0" applyNumberFormat="1" applyFont="1" applyFill="1" applyProtection="1"/>
    <xf numFmtId="3" fontId="1" fillId="13" borderId="0" xfId="0" applyNumberFormat="1" applyFont="1" applyFill="1" applyProtection="1"/>
    <xf numFmtId="168" fontId="1" fillId="13" borderId="0" xfId="0" applyNumberFormat="1" applyFont="1" applyFill="1" applyProtection="1"/>
    <xf numFmtId="4" fontId="1" fillId="13" borderId="0" xfId="0" applyNumberFormat="1" applyFont="1" applyFill="1" applyProtection="1"/>
    <xf numFmtId="0" fontId="5" fillId="13" borderId="0" xfId="0" applyFont="1" applyFill="1" applyProtection="1"/>
    <xf numFmtId="2" fontId="1" fillId="10" borderId="0" xfId="0" applyNumberFormat="1" applyFont="1" applyFill="1" applyAlignment="1" applyProtection="1">
      <alignment horizontal="center"/>
    </xf>
    <xf numFmtId="9" fontId="1" fillId="10" borderId="0" xfId="5" applyFont="1" applyFill="1" applyAlignment="1" applyProtection="1">
      <alignment horizontal="center"/>
    </xf>
    <xf numFmtId="43" fontId="1" fillId="10" borderId="0" xfId="6" applyFont="1" applyFill="1" applyAlignment="1" applyProtection="1">
      <alignment horizontal="center"/>
    </xf>
    <xf numFmtId="171" fontId="1" fillId="10" borderId="0" xfId="6" applyNumberFormat="1" applyFont="1" applyFill="1" applyAlignment="1" applyProtection="1">
      <alignment horizontal="center"/>
    </xf>
    <xf numFmtId="9" fontId="38" fillId="10" borderId="29" xfId="5" applyFont="1" applyFill="1" applyBorder="1" applyProtection="1"/>
    <xf numFmtId="9" fontId="38" fillId="10" borderId="33" xfId="5" applyFont="1" applyFill="1" applyBorder="1" applyProtection="1"/>
    <xf numFmtId="164" fontId="38" fillId="10" borderId="26" xfId="0" applyNumberFormat="1" applyFont="1" applyFill="1" applyBorder="1" applyAlignment="1" applyProtection="1">
      <alignment wrapText="1"/>
    </xf>
    <xf numFmtId="164" fontId="38" fillId="10" borderId="30" xfId="0" applyNumberFormat="1" applyFont="1" applyFill="1" applyBorder="1" applyProtection="1"/>
    <xf numFmtId="171" fontId="38" fillId="10" borderId="26" xfId="6" applyNumberFormat="1" applyFont="1" applyFill="1" applyBorder="1" applyAlignment="1" applyProtection="1">
      <alignment wrapText="1"/>
    </xf>
    <xf numFmtId="171" fontId="38" fillId="10" borderId="30" xfId="6" applyNumberFormat="1" applyFont="1" applyFill="1" applyBorder="1" applyProtection="1"/>
    <xf numFmtId="1" fontId="39" fillId="10" borderId="1" xfId="6" applyNumberFormat="1" applyFont="1" applyFill="1" applyBorder="1" applyAlignment="1" applyProtection="1">
      <alignment horizontal="right" vertical="top" wrapText="1"/>
    </xf>
    <xf numFmtId="0" fontId="0" fillId="0" borderId="0" xfId="0" applyFill="1" applyBorder="1" applyAlignment="1" applyProtection="1">
      <alignment horizontal="center"/>
      <protection locked="0"/>
    </xf>
    <xf numFmtId="1" fontId="0" fillId="0" borderId="0" xfId="0" applyNumberFormat="1" applyFill="1" applyBorder="1" applyAlignment="1" applyProtection="1">
      <alignment horizontal="center"/>
      <protection locked="0"/>
    </xf>
    <xf numFmtId="164" fontId="0" fillId="0" borderId="0" xfId="0" applyNumberFormat="1" applyFill="1" applyBorder="1" applyAlignment="1" applyProtection="1">
      <alignment horizontal="center"/>
      <protection locked="0"/>
    </xf>
    <xf numFmtId="0" fontId="0" fillId="0" borderId="0" xfId="0" applyFill="1" applyAlignment="1" applyProtection="1">
      <alignment horizontal="center"/>
      <protection locked="0"/>
    </xf>
    <xf numFmtId="0" fontId="78" fillId="9" borderId="0" xfId="0" applyFont="1" applyFill="1" applyBorder="1"/>
    <xf numFmtId="0" fontId="78" fillId="9" borderId="0" xfId="0" applyFont="1" applyFill="1" applyBorder="1" applyAlignment="1" applyProtection="1">
      <alignment wrapText="1"/>
      <protection locked="0"/>
    </xf>
    <xf numFmtId="0" fontId="78" fillId="9" borderId="0" xfId="0" applyFont="1" applyFill="1" applyBorder="1" applyProtection="1">
      <protection locked="0"/>
    </xf>
    <xf numFmtId="0" fontId="78" fillId="9" borderId="0" xfId="0" applyFont="1" applyFill="1" applyBorder="1" applyAlignment="1">
      <alignment wrapText="1"/>
    </xf>
    <xf numFmtId="0" fontId="1" fillId="0" borderId="0" xfId="9"/>
    <xf numFmtId="0" fontId="1" fillId="0" borderId="0" xfId="9" applyProtection="1"/>
    <xf numFmtId="0" fontId="1" fillId="0" borderId="0" xfId="9" applyFont="1" applyBorder="1" applyAlignment="1" applyProtection="1">
      <alignment horizontal="center"/>
    </xf>
    <xf numFmtId="0" fontId="1" fillId="0" borderId="0" xfId="9" applyFont="1" applyBorder="1" applyProtection="1"/>
    <xf numFmtId="0" fontId="1" fillId="0" borderId="2" xfId="9" applyBorder="1" applyProtection="1"/>
    <xf numFmtId="0" fontId="6" fillId="0" borderId="0" xfId="9" applyFont="1" applyProtection="1"/>
    <xf numFmtId="0" fontId="1" fillId="0" borderId="0" xfId="9" applyFill="1" applyProtection="1"/>
    <xf numFmtId="0" fontId="1" fillId="0" borderId="0" xfId="9" applyAlignment="1" applyProtection="1">
      <alignment horizontal="center"/>
    </xf>
    <xf numFmtId="166" fontId="1" fillId="0" borderId="0" xfId="9" applyNumberFormat="1" applyFill="1" applyAlignment="1" applyProtection="1">
      <alignment horizontal="center"/>
    </xf>
    <xf numFmtId="2" fontId="1" fillId="0" borderId="0" xfId="9" applyNumberFormat="1" applyAlignment="1" applyProtection="1">
      <alignment horizontal="center"/>
    </xf>
    <xf numFmtId="0" fontId="1" fillId="0" borderId="0" xfId="9" applyFont="1" applyProtection="1"/>
    <xf numFmtId="0" fontId="8" fillId="0" borderId="0" xfId="9" applyFont="1" applyFill="1" applyProtection="1"/>
    <xf numFmtId="0" fontId="8" fillId="0" borderId="0" xfId="9" applyFont="1" applyProtection="1"/>
    <xf numFmtId="3" fontId="1" fillId="0" borderId="0" xfId="9" applyNumberFormat="1" applyFill="1" applyAlignment="1" applyProtection="1">
      <alignment horizontal="center"/>
    </xf>
    <xf numFmtId="4" fontId="1" fillId="0" borderId="0" xfId="9" applyNumberFormat="1" applyFont="1" applyFill="1" applyAlignment="1" applyProtection="1">
      <alignment horizontal="center"/>
    </xf>
    <xf numFmtId="168" fontId="1" fillId="0" borderId="0" xfId="9" applyNumberFormat="1" applyFont="1" applyFill="1" applyAlignment="1" applyProtection="1">
      <alignment horizontal="center"/>
    </xf>
    <xf numFmtId="3" fontId="1" fillId="0" borderId="0" xfId="9" applyNumberFormat="1" applyFont="1" applyFill="1" applyAlignment="1" applyProtection="1">
      <alignment horizontal="center"/>
    </xf>
    <xf numFmtId="0" fontId="1" fillId="0" borderId="0" xfId="9" applyAlignment="1" applyProtection="1">
      <alignment horizontal="center" vertical="center" wrapText="1"/>
    </xf>
    <xf numFmtId="0" fontId="1" fillId="0" borderId="9" xfId="9" applyBorder="1" applyProtection="1"/>
    <xf numFmtId="0" fontId="1" fillId="0" borderId="8" xfId="9" applyBorder="1" applyProtection="1"/>
    <xf numFmtId="0" fontId="1" fillId="0" borderId="6" xfId="9" applyBorder="1" applyProtection="1"/>
    <xf numFmtId="0" fontId="1" fillId="0" borderId="0" xfId="9" applyBorder="1" applyProtection="1"/>
    <xf numFmtId="1" fontId="1" fillId="0" borderId="0" xfId="9" applyNumberFormat="1" applyBorder="1" applyAlignment="1" applyProtection="1">
      <alignment horizontal="center"/>
    </xf>
    <xf numFmtId="2" fontId="1" fillId="0" borderId="0" xfId="9" applyNumberFormat="1" applyBorder="1" applyAlignment="1" applyProtection="1">
      <alignment horizontal="center"/>
    </xf>
    <xf numFmtId="166" fontId="1" fillId="0" borderId="0" xfId="9" applyNumberFormat="1" applyBorder="1" applyAlignment="1" applyProtection="1">
      <alignment horizontal="center"/>
    </xf>
    <xf numFmtId="0" fontId="1" fillId="0" borderId="5" xfId="9" applyBorder="1" applyProtection="1"/>
    <xf numFmtId="0" fontId="1" fillId="0" borderId="0" xfId="9" applyBorder="1" applyAlignment="1" applyProtection="1">
      <alignment horizontal="center"/>
    </xf>
    <xf numFmtId="0" fontId="8" fillId="0" borderId="5" xfId="9" applyFont="1" applyBorder="1" applyProtection="1"/>
    <xf numFmtId="0" fontId="1" fillId="0" borderId="4" xfId="9" applyBorder="1" applyProtection="1"/>
    <xf numFmtId="0" fontId="1" fillId="0" borderId="3" xfId="9" applyBorder="1" applyProtection="1"/>
    <xf numFmtId="0" fontId="8" fillId="0" borderId="2" xfId="9" applyFont="1" applyBorder="1" applyProtection="1"/>
    <xf numFmtId="1" fontId="1" fillId="0" borderId="0" xfId="9" applyNumberFormat="1" applyBorder="1" applyProtection="1"/>
    <xf numFmtId="3" fontId="1" fillId="0" borderId="0" xfId="9" applyNumberFormat="1" applyBorder="1" applyProtection="1"/>
    <xf numFmtId="3" fontId="1" fillId="0" borderId="0" xfId="9" applyNumberFormat="1" applyBorder="1" applyAlignment="1" applyProtection="1">
      <alignment horizontal="center"/>
    </xf>
    <xf numFmtId="0" fontId="1" fillId="0" borderId="0" xfId="9" applyAlignment="1">
      <alignment horizontal="center"/>
    </xf>
    <xf numFmtId="1" fontId="1" fillId="0" borderId="0" xfId="9" applyNumberFormat="1" applyAlignment="1" applyProtection="1">
      <alignment horizontal="center"/>
    </xf>
    <xf numFmtId="0" fontId="7" fillId="0" borderId="0" xfId="9" applyFont="1" applyProtection="1"/>
    <xf numFmtId="1" fontId="1" fillId="0" borderId="0" xfId="9" applyNumberFormat="1" applyProtection="1"/>
    <xf numFmtId="0" fontId="1" fillId="0" borderId="9" xfId="9" applyBorder="1" applyAlignment="1" applyProtection="1">
      <alignment horizontal="center"/>
    </xf>
    <xf numFmtId="0" fontId="1" fillId="0" borderId="7" xfId="9" applyBorder="1" applyProtection="1"/>
    <xf numFmtId="1" fontId="1" fillId="0" borderId="4" xfId="9" applyNumberFormat="1" applyBorder="1" applyAlignment="1" applyProtection="1">
      <alignment horizontal="center"/>
    </xf>
    <xf numFmtId="0" fontId="7" fillId="0" borderId="2" xfId="9" applyFont="1" applyBorder="1" applyProtection="1"/>
    <xf numFmtId="0" fontId="1" fillId="0" borderId="8" xfId="9" applyBorder="1" applyAlignment="1" applyProtection="1">
      <alignment horizontal="center"/>
    </xf>
    <xf numFmtId="0" fontId="1" fillId="0" borderId="6" xfId="9" applyBorder="1" applyAlignment="1" applyProtection="1">
      <alignment horizontal="center"/>
    </xf>
    <xf numFmtId="0" fontId="1" fillId="0" borderId="4" xfId="9" applyBorder="1" applyAlignment="1" applyProtection="1">
      <alignment horizontal="right"/>
    </xf>
    <xf numFmtId="0" fontId="1" fillId="0" borderId="4" xfId="9" applyBorder="1" applyAlignment="1" applyProtection="1">
      <alignment horizontal="center"/>
    </xf>
    <xf numFmtId="0" fontId="1" fillId="0" borderId="3" xfId="9" applyBorder="1" applyAlignment="1" applyProtection="1">
      <alignment horizontal="center"/>
    </xf>
    <xf numFmtId="0" fontId="7" fillId="0" borderId="0" xfId="3" applyFont="1" applyFill="1" applyProtection="1"/>
    <xf numFmtId="164" fontId="1" fillId="0" borderId="0" xfId="9" applyNumberFormat="1" applyAlignment="1" applyProtection="1">
      <alignment horizontal="center"/>
    </xf>
    <xf numFmtId="0" fontId="7" fillId="0" borderId="0" xfId="9" applyFont="1" applyAlignment="1" applyProtection="1">
      <alignment horizontal="center"/>
    </xf>
    <xf numFmtId="164" fontId="1" fillId="0" borderId="0" xfId="9" applyNumberFormat="1" applyProtection="1"/>
    <xf numFmtId="0" fontId="1" fillId="0" borderId="0" xfId="9" applyAlignment="1" applyProtection="1">
      <alignment horizontal="left"/>
    </xf>
    <xf numFmtId="0" fontId="1" fillId="0" borderId="12" xfId="9" applyBorder="1" applyAlignment="1" applyProtection="1">
      <alignment horizontal="center"/>
    </xf>
    <xf numFmtId="0" fontId="1" fillId="0" borderId="11" xfId="9" applyBorder="1" applyProtection="1"/>
    <xf numFmtId="0" fontId="1" fillId="0" borderId="10" xfId="9" applyBorder="1" applyProtection="1"/>
    <xf numFmtId="0" fontId="1" fillId="6" borderId="0" xfId="9" applyFill="1" applyProtection="1"/>
    <xf numFmtId="0" fontId="11" fillId="6" borderId="0" xfId="9" applyFont="1" applyFill="1" applyAlignment="1" applyProtection="1">
      <alignment horizontal="left"/>
    </xf>
    <xf numFmtId="0" fontId="1" fillId="0" borderId="0" xfId="3" applyFont="1" applyAlignment="1" applyProtection="1">
      <alignment horizontal="center"/>
    </xf>
    <xf numFmtId="164" fontId="1" fillId="0" borderId="0" xfId="9" applyNumberFormat="1" applyBorder="1" applyAlignment="1" applyProtection="1">
      <alignment horizontal="center"/>
    </xf>
    <xf numFmtId="166" fontId="1" fillId="0" borderId="0" xfId="9" applyNumberFormat="1" applyAlignment="1" applyProtection="1">
      <alignment horizontal="center" vertical="center"/>
    </xf>
    <xf numFmtId="2" fontId="80" fillId="19" borderId="48" xfId="0" applyNumberFormat="1" applyFont="1" applyFill="1" applyBorder="1" applyAlignment="1" applyProtection="1">
      <alignment vertical="center" wrapText="1"/>
    </xf>
    <xf numFmtId="0" fontId="38" fillId="0" borderId="49" xfId="10" applyFont="1" applyFill="1" applyBorder="1" applyAlignment="1" applyProtection="1">
      <alignment wrapText="1"/>
      <protection locked="0"/>
    </xf>
    <xf numFmtId="0" fontId="38" fillId="0" borderId="49" xfId="10" applyFont="1" applyFill="1" applyBorder="1" applyAlignment="1" applyProtection="1">
      <alignment horizontal="left" wrapText="1"/>
      <protection locked="0"/>
    </xf>
    <xf numFmtId="9" fontId="38" fillId="4" borderId="31" xfId="5" applyFont="1" applyFill="1" applyBorder="1" applyAlignment="1" applyProtection="1">
      <alignment horizontal="right" wrapText="1"/>
    </xf>
    <xf numFmtId="0" fontId="0" fillId="10" borderId="0" xfId="0" applyFill="1" applyProtection="1"/>
    <xf numFmtId="17" fontId="34" fillId="0" borderId="0" xfId="0" quotePrefix="1" applyNumberFormat="1" applyFont="1" applyAlignment="1" applyProtection="1">
      <alignment horizontal="center"/>
    </xf>
    <xf numFmtId="0" fontId="16" fillId="0" borderId="1" xfId="0" applyFont="1" applyBorder="1" applyAlignment="1">
      <alignment vertical="top" wrapText="1"/>
    </xf>
    <xf numFmtId="0" fontId="0" fillId="0" borderId="1" xfId="0" applyBorder="1" applyAlignment="1"/>
    <xf numFmtId="0" fontId="0" fillId="0" borderId="1" xfId="0" applyBorder="1" applyAlignment="1">
      <alignment vertical="top" wrapText="1"/>
    </xf>
    <xf numFmtId="0" fontId="16" fillId="0" borderId="0" xfId="0" applyFont="1" applyFill="1" applyBorder="1" applyAlignment="1" applyProtection="1">
      <alignment horizontal="left" vertical="top" wrapText="1"/>
    </xf>
    <xf numFmtId="0" fontId="15" fillId="0" borderId="1" xfId="0" applyFont="1" applyBorder="1" applyAlignment="1">
      <alignment horizontal="center" vertical="top" wrapText="1"/>
    </xf>
    <xf numFmtId="0" fontId="0" fillId="0" borderId="1" xfId="0" applyBorder="1" applyAlignment="1">
      <alignment wrapText="1"/>
    </xf>
    <xf numFmtId="0" fontId="1" fillId="5" borderId="0" xfId="3" applyFont="1" applyFill="1" applyAlignment="1" applyProtection="1">
      <alignment horizontal="center"/>
      <protection locked="0"/>
    </xf>
    <xf numFmtId="0" fontId="1" fillId="5" borderId="0" xfId="0" applyFont="1" applyFill="1" applyAlignment="1" applyProtection="1">
      <alignment horizontal="center"/>
      <protection locked="0"/>
    </xf>
    <xf numFmtId="0" fontId="1" fillId="5" borderId="0" xfId="3" applyFont="1" applyFill="1" applyAlignment="1" applyProtection="1">
      <protection locked="0"/>
    </xf>
    <xf numFmtId="0" fontId="0" fillId="5" borderId="0" xfId="0" applyFill="1" applyAlignment="1" applyProtection="1">
      <protection locked="0"/>
    </xf>
    <xf numFmtId="0" fontId="1" fillId="13" borderId="0" xfId="3" applyFont="1" applyFill="1" applyAlignment="1">
      <alignment horizontal="center"/>
    </xf>
    <xf numFmtId="9" fontId="1" fillId="5" borderId="0" xfId="5" applyFont="1" applyFill="1" applyAlignment="1" applyProtection="1">
      <protection locked="0"/>
    </xf>
    <xf numFmtId="0" fontId="0" fillId="0" borderId="0" xfId="0" applyAlignment="1" applyProtection="1">
      <protection locked="0"/>
    </xf>
    <xf numFmtId="0" fontId="10" fillId="5" borderId="0" xfId="3" applyFont="1" applyFill="1" applyAlignment="1" applyProtection="1">
      <protection locked="0"/>
    </xf>
    <xf numFmtId="0" fontId="10" fillId="0" borderId="0" xfId="0" applyFont="1" applyAlignment="1" applyProtection="1">
      <protection locked="0"/>
    </xf>
    <xf numFmtId="0" fontId="35" fillId="0" borderId="2" xfId="0" applyFont="1" applyBorder="1" applyAlignment="1" applyProtection="1">
      <alignment horizontal="left" wrapText="1"/>
    </xf>
    <xf numFmtId="0" fontId="35" fillId="0" borderId="3" xfId="0" applyFont="1" applyBorder="1" applyAlignment="1" applyProtection="1">
      <alignment horizontal="left" wrapText="1"/>
    </xf>
    <xf numFmtId="0" fontId="35" fillId="0" borderId="4" xfId="0" applyFont="1" applyBorder="1" applyAlignment="1" applyProtection="1">
      <alignment horizontal="left" wrapText="1"/>
    </xf>
    <xf numFmtId="0" fontId="35" fillId="0" borderId="7" xfId="0" applyFont="1" applyBorder="1" applyAlignment="1" applyProtection="1">
      <alignment horizontal="left" wrapText="1"/>
    </xf>
    <xf numFmtId="0" fontId="35" fillId="0" borderId="8" xfId="0" applyFont="1" applyBorder="1" applyAlignment="1" applyProtection="1">
      <alignment horizontal="left" wrapText="1"/>
    </xf>
    <xf numFmtId="0" fontId="35" fillId="0" borderId="9" xfId="0" applyFont="1" applyBorder="1" applyAlignment="1" applyProtection="1">
      <alignment horizontal="left" wrapText="1"/>
    </xf>
    <xf numFmtId="0" fontId="51" fillId="8" borderId="0" xfId="8" applyFont="1" applyFill="1" applyAlignment="1" applyProtection="1">
      <alignment horizontal="left"/>
      <protection locked="0"/>
    </xf>
    <xf numFmtId="0" fontId="1" fillId="0" borderId="0" xfId="0" applyFont="1" applyAlignment="1" applyProtection="1">
      <alignment horizontal="left" vertical="top" wrapText="1"/>
    </xf>
    <xf numFmtId="0" fontId="1" fillId="0" borderId="0" xfId="3" applyFont="1" applyAlignment="1" applyProtection="1">
      <alignment horizontal="center"/>
    </xf>
    <xf numFmtId="0" fontId="1" fillId="5" borderId="0" xfId="0" applyFont="1" applyFill="1" applyAlignment="1" applyProtection="1">
      <protection locked="0"/>
    </xf>
    <xf numFmtId="0" fontId="1" fillId="5" borderId="0" xfId="0" applyFont="1" applyFill="1" applyBorder="1" applyAlignment="1" applyProtection="1">
      <protection locked="0"/>
    </xf>
    <xf numFmtId="0" fontId="0" fillId="0" borderId="0" xfId="0" applyBorder="1" applyAlignment="1" applyProtection="1">
      <protection locked="0"/>
    </xf>
    <xf numFmtId="3" fontId="1" fillId="5" borderId="0" xfId="0" applyNumberFormat="1" applyFont="1" applyFill="1" applyBorder="1" applyAlignment="1" applyProtection="1">
      <protection locked="0"/>
    </xf>
    <xf numFmtId="0" fontId="0" fillId="0" borderId="0" xfId="0" applyBorder="1" applyAlignment="1"/>
    <xf numFmtId="0" fontId="1" fillId="5" borderId="6" xfId="0" applyFont="1" applyFill="1" applyBorder="1" applyAlignment="1" applyProtection="1">
      <protection locked="0"/>
    </xf>
    <xf numFmtId="0" fontId="38" fillId="0" borderId="17" xfId="0" applyFont="1" applyFill="1" applyBorder="1" applyAlignment="1" applyProtection="1">
      <alignment horizontal="left" wrapText="1"/>
    </xf>
    <xf numFmtId="0" fontId="38" fillId="0" borderId="0" xfId="0" applyFont="1" applyFill="1" applyAlignment="1" applyProtection="1">
      <alignment horizontal="left" wrapText="1"/>
    </xf>
    <xf numFmtId="0" fontId="38" fillId="0" borderId="17" xfId="0" applyFont="1" applyFill="1" applyBorder="1" applyAlignment="1" applyProtection="1">
      <alignment horizontal="left"/>
    </xf>
    <xf numFmtId="0" fontId="38" fillId="0" borderId="0" xfId="0" applyFont="1" applyFill="1" applyAlignment="1" applyProtection="1">
      <alignment horizontal="left"/>
    </xf>
    <xf numFmtId="2" fontId="80" fillId="19" borderId="49" xfId="0" applyNumberFormat="1" applyFont="1" applyFill="1" applyBorder="1" applyAlignment="1" applyProtection="1">
      <alignment horizontal="left" vertical="center" wrapText="1"/>
    </xf>
    <xf numFmtId="0" fontId="38" fillId="0" borderId="0" xfId="0" applyFont="1" applyBorder="1" applyAlignment="1" applyProtection="1">
      <alignment horizontal="left" wrapText="1"/>
    </xf>
    <xf numFmtId="0" fontId="38" fillId="0" borderId="0" xfId="0" applyFont="1" applyAlignment="1" applyProtection="1">
      <alignment horizontal="left" wrapText="1"/>
    </xf>
    <xf numFmtId="0" fontId="74" fillId="0" borderId="0" xfId="0" applyFont="1" applyAlignment="1" applyProtection="1">
      <alignment horizontal="left" wrapText="1"/>
    </xf>
    <xf numFmtId="0" fontId="62" fillId="0" borderId="0" xfId="0" applyFont="1" applyAlignment="1" applyProtection="1">
      <alignment horizontal="left" wrapText="1"/>
    </xf>
    <xf numFmtId="0" fontId="67" fillId="6" borderId="11" xfId="7" applyFont="1" applyFill="1" applyBorder="1" applyAlignment="1" applyProtection="1">
      <alignment horizontal="left" vertical="top"/>
    </xf>
    <xf numFmtId="0" fontId="67" fillId="6" borderId="8" xfId="7" applyFont="1" applyFill="1" applyBorder="1" applyAlignment="1" applyProtection="1">
      <alignment horizontal="left" vertical="top"/>
    </xf>
    <xf numFmtId="0" fontId="63" fillId="0" borderId="45" xfId="0" applyFont="1" applyFill="1" applyBorder="1" applyAlignment="1" applyProtection="1">
      <alignment horizontal="center" wrapText="1"/>
      <protection hidden="1"/>
    </xf>
    <xf numFmtId="0" fontId="63" fillId="0" borderId="19" xfId="0" applyFont="1" applyFill="1" applyBorder="1" applyAlignment="1" applyProtection="1">
      <alignment horizontal="center" wrapText="1"/>
      <protection hidden="1"/>
    </xf>
    <xf numFmtId="0" fontId="63" fillId="0" borderId="10" xfId="0" applyFont="1" applyBorder="1" applyAlignment="1" applyProtection="1">
      <alignment horizontal="center" wrapText="1"/>
    </xf>
    <xf numFmtId="0" fontId="63" fillId="0" borderId="11" xfId="0" applyFont="1" applyBorder="1" applyAlignment="1" applyProtection="1">
      <alignment horizontal="center" wrapText="1"/>
    </xf>
    <xf numFmtId="0" fontId="63" fillId="0" borderId="12" xfId="0" applyFont="1" applyBorder="1" applyAlignment="1" applyProtection="1">
      <alignment horizontal="center" wrapText="1"/>
    </xf>
    <xf numFmtId="0" fontId="38" fillId="0" borderId="3" xfId="0" applyFont="1" applyFill="1" applyBorder="1" applyAlignment="1" applyProtection="1">
      <alignment horizontal="left" wrapText="1"/>
    </xf>
    <xf numFmtId="0" fontId="38" fillId="0" borderId="0" xfId="0" applyFont="1" applyFill="1" applyBorder="1" applyAlignment="1" applyProtection="1">
      <alignment horizontal="left" wrapText="1"/>
    </xf>
    <xf numFmtId="0" fontId="1" fillId="9" borderId="0" xfId="0" applyFont="1" applyFill="1" applyAlignment="1">
      <alignment horizontal="center"/>
    </xf>
    <xf numFmtId="0" fontId="0" fillId="9" borderId="0" xfId="0" applyFill="1" applyAlignment="1">
      <alignment horizontal="center" wrapText="1"/>
    </xf>
  </cellXfs>
  <cellStyles count="12">
    <cellStyle name="Calc" xfId="1" xr:uid="{00000000-0005-0000-0000-000000000000}"/>
    <cellStyle name="Comma" xfId="6" builtinId="3"/>
    <cellStyle name="Input" xfId="2" builtinId="20" customBuiltin="1"/>
    <cellStyle name="Neutral" xfId="8" builtinId="28"/>
    <cellStyle name="Normal" xfId="0" builtinId="0"/>
    <cellStyle name="Normal 2" xfId="9" xr:uid="{0FC4B175-5545-483A-B85F-EF3218B745A7}"/>
    <cellStyle name="Normal 2_Appendix C" xfId="7" xr:uid="{00000000-0005-0000-0000-000005000000}"/>
    <cellStyle name="Normal_Appendix C" xfId="10" xr:uid="{A3C4C29B-EDD5-4152-9A6B-F83DD5E6DDDD}"/>
    <cellStyle name="Normal_Input Sheet" xfId="11" xr:uid="{9D9FE597-E5C8-4C91-A443-D8561C7FBF42}"/>
    <cellStyle name="Normal_Sap2005_draft" xfId="3" xr:uid="{00000000-0005-0000-0000-000006000000}"/>
    <cellStyle name="Normal_Stock" xfId="4" xr:uid="{00000000-0005-0000-0000-000007000000}"/>
    <cellStyle name="Percent" xfId="5" builtinId="5"/>
  </cellStyles>
  <dxfs count="6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patternType="solid">
          <bgColor theme="1" tint="0.14996795556505021"/>
        </patternFill>
      </fill>
    </dxf>
    <dxf>
      <fill>
        <patternFill>
          <bgColor theme="1" tint="0.14996795556505021"/>
        </patternFill>
      </fill>
    </dxf>
    <dxf>
      <fill>
        <patternFill>
          <bgColor theme="1" tint="0.24994659260841701"/>
        </patternFill>
      </fill>
    </dxf>
    <dxf>
      <fill>
        <patternFill>
          <bgColor theme="1" tint="0.24994659260841701"/>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rgb="FF333333"/>
        </patternFill>
      </fill>
    </dxf>
    <dxf>
      <fill>
        <patternFill>
          <bgColor indexed="63"/>
        </patternFill>
      </fill>
    </dxf>
    <dxf>
      <font>
        <color auto="1"/>
      </font>
      <fill>
        <patternFill>
          <bgColor rgb="FF333333"/>
        </patternFill>
      </fill>
    </dxf>
    <dxf>
      <font>
        <color theme="0"/>
      </font>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rgb="FF33333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patternType="solid">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theme="1"/>
        </patternFill>
      </fill>
    </dxf>
    <dxf>
      <fill>
        <patternFill>
          <bgColor theme="1"/>
        </patternFill>
      </fill>
    </dxf>
    <dxf>
      <font>
        <color theme="0"/>
      </font>
      <fill>
        <patternFill patternType="none">
          <bgColor auto="1"/>
        </patternFill>
      </fill>
    </dxf>
    <dxf>
      <font>
        <condense val="0"/>
        <extend val="0"/>
        <color indexed="10"/>
      </font>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 Id="rId35"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IE"/>
              <a:t>Breakdown of heat loss [W/K]</a:t>
            </a:r>
          </a:p>
        </c:rich>
      </c:tx>
      <c:layout>
        <c:manualLayout>
          <c:xMode val="edge"/>
          <c:yMode val="edge"/>
          <c:x val="0.23642209180085913"/>
          <c:y val="3.6496350364963508E-2"/>
        </c:manualLayout>
      </c:layout>
      <c:overlay val="0"/>
      <c:spPr>
        <a:noFill/>
        <a:ln w="25400">
          <a:noFill/>
        </a:ln>
      </c:spPr>
    </c:title>
    <c:autoTitleDeleted val="0"/>
    <c:plotArea>
      <c:layout>
        <c:manualLayout>
          <c:layoutTarget val="inner"/>
          <c:xMode val="edge"/>
          <c:yMode val="edge"/>
          <c:x val="0.23961698722198738"/>
          <c:y val="0.38686131386861328"/>
          <c:w val="0.68051224371044383"/>
          <c:h val="0.510948905109489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Fab!$J$28:$J$29</c:f>
              <c:strCache>
                <c:ptCount val="2"/>
                <c:pt idx="0">
                  <c:v>Fabric</c:v>
                </c:pt>
                <c:pt idx="1">
                  <c:v>Ventilation</c:v>
                </c:pt>
              </c:strCache>
            </c:strRef>
          </c:cat>
          <c:val>
            <c:numRef>
              <c:f>Fab!$K$28:$K$29</c:f>
              <c:numCache>
                <c:formatCode>0</c:formatCode>
                <c:ptCount val="2"/>
                <c:pt idx="0">
                  <c:v>67.537785714285704</c:v>
                </c:pt>
                <c:pt idx="1">
                  <c:v>58.941521433928571</c:v>
                </c:pt>
              </c:numCache>
            </c:numRef>
          </c:val>
          <c:extLst>
            <c:ext xmlns:c16="http://schemas.microsoft.com/office/drawing/2014/chart" uri="{C3380CC4-5D6E-409C-BE32-E72D297353CC}">
              <c16:uniqueId val="{00000000-AFB1-4726-8941-4D925C51ACFD}"/>
            </c:ext>
          </c:extLst>
        </c:ser>
        <c:dLbls>
          <c:showLegendKey val="0"/>
          <c:showVal val="0"/>
          <c:showCatName val="0"/>
          <c:showSerName val="0"/>
          <c:showPercent val="0"/>
          <c:showBubbleSize val="0"/>
        </c:dLbls>
        <c:gapWidth val="150"/>
        <c:axId val="103818752"/>
        <c:axId val="103892096"/>
      </c:barChart>
      <c:catAx>
        <c:axId val="1038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2096"/>
        <c:crosses val="autoZero"/>
        <c:auto val="1"/>
        <c:lblAlgn val="ctr"/>
        <c:lblOffset val="100"/>
        <c:tickLblSkip val="1"/>
        <c:tickMarkSkip val="1"/>
        <c:noMultiLvlLbl val="0"/>
      </c:catAx>
      <c:valAx>
        <c:axId val="103892096"/>
        <c:scaling>
          <c:orientation val="minMax"/>
          <c:min val="0"/>
        </c:scaling>
        <c:delete val="0"/>
        <c:axPos val="t"/>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1875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IE"/>
              <a:t>Breakdown of fabric heat loss [W/K]</a:t>
            </a:r>
          </a:p>
        </c:rich>
      </c:tx>
      <c:layout>
        <c:manualLayout>
          <c:xMode val="edge"/>
          <c:yMode val="edge"/>
          <c:x val="0.18152869780166372"/>
          <c:y val="2.7932960893854754E-2"/>
        </c:manualLayout>
      </c:layout>
      <c:overlay val="0"/>
      <c:spPr>
        <a:noFill/>
        <a:ln w="25400">
          <a:noFill/>
        </a:ln>
      </c:spPr>
    </c:title>
    <c:autoTitleDeleted val="0"/>
    <c:plotArea>
      <c:layout>
        <c:manualLayout>
          <c:layoutTarget val="inner"/>
          <c:xMode val="edge"/>
          <c:yMode val="edge"/>
          <c:x val="0.2261146496815287"/>
          <c:y val="0.30167597765363136"/>
          <c:w val="0.70382165605095559"/>
          <c:h val="0.6201117318435756"/>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Fab!$I$35:$I$39</c:f>
              <c:strCache>
                <c:ptCount val="5"/>
                <c:pt idx="0">
                  <c:v>Floors</c:v>
                </c:pt>
                <c:pt idx="1">
                  <c:v>Walls</c:v>
                </c:pt>
                <c:pt idx="2">
                  <c:v>Roofs</c:v>
                </c:pt>
                <c:pt idx="3">
                  <c:v>Openings</c:v>
                </c:pt>
                <c:pt idx="4">
                  <c:v>Junctions</c:v>
                </c:pt>
              </c:strCache>
            </c:strRef>
          </c:cat>
          <c:val>
            <c:numRef>
              <c:f>Fab!$J$35:$J$39</c:f>
              <c:numCache>
                <c:formatCode>0.0</c:formatCode>
                <c:ptCount val="5"/>
                <c:pt idx="0">
                  <c:v>8.82</c:v>
                </c:pt>
                <c:pt idx="1">
                  <c:v>11.141</c:v>
                </c:pt>
                <c:pt idx="2">
                  <c:v>6.93</c:v>
                </c:pt>
                <c:pt idx="3">
                  <c:v>28.489285714285707</c:v>
                </c:pt>
                <c:pt idx="4" formatCode="0">
                  <c:v>12.157500000000001</c:v>
                </c:pt>
              </c:numCache>
            </c:numRef>
          </c:val>
          <c:extLst>
            <c:ext xmlns:c16="http://schemas.microsoft.com/office/drawing/2014/chart" uri="{C3380CC4-5D6E-409C-BE32-E72D297353CC}">
              <c16:uniqueId val="{00000000-1DD1-432B-8DE5-FD08734615B3}"/>
            </c:ext>
          </c:extLst>
        </c:ser>
        <c:dLbls>
          <c:showLegendKey val="0"/>
          <c:showVal val="0"/>
          <c:showCatName val="0"/>
          <c:showSerName val="0"/>
          <c:showPercent val="0"/>
          <c:showBubbleSize val="0"/>
        </c:dLbls>
        <c:gapWidth val="150"/>
        <c:axId val="139987456"/>
        <c:axId val="103896128"/>
      </c:barChart>
      <c:catAx>
        <c:axId val="1399874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6128"/>
        <c:crosses val="autoZero"/>
        <c:auto val="1"/>
        <c:lblAlgn val="ctr"/>
        <c:lblOffset val="100"/>
        <c:tickLblSkip val="1"/>
        <c:tickMarkSkip val="1"/>
        <c:noMultiLvlLbl val="0"/>
      </c:catAx>
      <c:valAx>
        <c:axId val="103896128"/>
        <c:scaling>
          <c:orientation val="minMax"/>
          <c:min val="0"/>
        </c:scaling>
        <c:delete val="0"/>
        <c:axPos val="t"/>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9987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00036057746491"/>
          <c:y val="0.25888324873096447"/>
          <c:w val="0.7046164432338391"/>
          <c:h val="0.6649746192893403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WH!$I$102:$I$107</c:f>
              <c:strCache>
                <c:ptCount val="6"/>
                <c:pt idx="0">
                  <c:v>HW use</c:v>
                </c:pt>
                <c:pt idx="1">
                  <c:v>Distribution</c:v>
                </c:pt>
                <c:pt idx="2">
                  <c:v>Storage</c:v>
                </c:pt>
                <c:pt idx="3">
                  <c:v>Primary c</c:v>
                </c:pt>
                <c:pt idx="4">
                  <c:v>Combi b</c:v>
                </c:pt>
                <c:pt idx="5">
                  <c:v>Solar input</c:v>
                </c:pt>
              </c:strCache>
            </c:strRef>
          </c:cat>
          <c:val>
            <c:numRef>
              <c:f>WH!$J$102:$J$107</c:f>
              <c:numCache>
                <c:formatCode>0</c:formatCode>
                <c:ptCount val="6"/>
                <c:pt idx="0">
                  <c:v>1645.1718551964095</c:v>
                </c:pt>
                <c:pt idx="1">
                  <c:v>290.32444503466053</c:v>
                </c:pt>
                <c:pt idx="2">
                  <c:v>243.34269230769235</c:v>
                </c:pt>
                <c:pt idx="3">
                  <c:v>309.77145736250912</c:v>
                </c:pt>
                <c:pt idx="4" formatCode="General">
                  <c:v>0</c:v>
                </c:pt>
                <c:pt idx="5">
                  <c:v>0</c:v>
                </c:pt>
              </c:numCache>
            </c:numRef>
          </c:val>
          <c:extLst>
            <c:ext xmlns:c16="http://schemas.microsoft.com/office/drawing/2014/chart" uri="{C3380CC4-5D6E-409C-BE32-E72D297353CC}">
              <c16:uniqueId val="{00000000-DF55-473E-8447-F9E5AF44E882}"/>
            </c:ext>
          </c:extLst>
        </c:ser>
        <c:dLbls>
          <c:showLegendKey val="0"/>
          <c:showVal val="0"/>
          <c:showCatName val="0"/>
          <c:showSerName val="0"/>
          <c:showPercent val="0"/>
          <c:showBubbleSize val="0"/>
        </c:dLbls>
        <c:gapWidth val="150"/>
        <c:axId val="140133888"/>
        <c:axId val="103898432"/>
      </c:barChart>
      <c:catAx>
        <c:axId val="14013388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8432"/>
        <c:crosses val="autoZero"/>
        <c:auto val="1"/>
        <c:lblAlgn val="ctr"/>
        <c:lblOffset val="100"/>
        <c:tickLblSkip val="1"/>
        <c:tickMarkSkip val="1"/>
        <c:noMultiLvlLbl val="0"/>
      </c:catAx>
      <c:valAx>
        <c:axId val="103898432"/>
        <c:scaling>
          <c:orientation val="minMax"/>
          <c:min val="0"/>
        </c:scaling>
        <c:delete val="0"/>
        <c:axPos val="t"/>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IE"/>
                  <a:t>[kWh/y]</a:t>
                </a:r>
              </a:p>
            </c:rich>
          </c:tx>
          <c:layout>
            <c:manualLayout>
              <c:xMode val="edge"/>
              <c:yMode val="edge"/>
              <c:x val="0.52307756915000991"/>
              <c:y val="2.5380818223410154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13388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IE"/>
              <a:t>Balancing heat loss [W]</a:t>
            </a:r>
          </a:p>
        </c:rich>
      </c:tx>
      <c:layout>
        <c:manualLayout>
          <c:xMode val="edge"/>
          <c:yMode val="edge"/>
          <c:x val="0.37573426609345068"/>
          <c:y val="2.1186440677966104E-2"/>
        </c:manualLayout>
      </c:layout>
      <c:overlay val="0"/>
      <c:spPr>
        <a:noFill/>
        <a:ln w="25400">
          <a:noFill/>
        </a:ln>
      </c:spPr>
    </c:title>
    <c:autoTitleDeleted val="0"/>
    <c:plotArea>
      <c:layout>
        <c:manualLayout>
          <c:layoutTarget val="inner"/>
          <c:xMode val="edge"/>
          <c:yMode val="edge"/>
          <c:x val="9.5890502586173154E-2"/>
          <c:y val="0.14406779661016952"/>
          <c:w val="0.70645860068588784"/>
          <c:h val="0.68220338983050832"/>
        </c:manualLayout>
      </c:layout>
      <c:barChart>
        <c:barDir val="col"/>
        <c:grouping val="stacked"/>
        <c:varyColors val="0"/>
        <c:ser>
          <c:idx val="0"/>
          <c:order val="0"/>
          <c:tx>
            <c:v>Internal gains</c:v>
          </c:tx>
          <c:spPr>
            <a:solidFill>
              <a:srgbClr val="9999FF"/>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HtUse!$C$63:$N$63</c:f>
              <c:numCache>
                <c:formatCode>0</c:formatCode>
                <c:ptCount val="12"/>
                <c:pt idx="0">
                  <c:v>498.42963737984576</c:v>
                </c:pt>
                <c:pt idx="1">
                  <c:v>491.23306494816745</c:v>
                </c:pt>
                <c:pt idx="2">
                  <c:v>461.26631696813627</c:v>
                </c:pt>
                <c:pt idx="3">
                  <c:v>400.86849576528624</c:v>
                </c:pt>
                <c:pt idx="4">
                  <c:v>286.49243051519085</c:v>
                </c:pt>
                <c:pt idx="5">
                  <c:v>198.56941007525404</c:v>
                </c:pt>
                <c:pt idx="6">
                  <c:v>130.42049577431223</c:v>
                </c:pt>
                <c:pt idx="7">
                  <c:v>151.38349571815414</c:v>
                </c:pt>
                <c:pt idx="8">
                  <c:v>266.35165682079872</c:v>
                </c:pt>
                <c:pt idx="9">
                  <c:v>425.6992079348791</c:v>
                </c:pt>
                <c:pt idx="10">
                  <c:v>490.57818068402906</c:v>
                </c:pt>
                <c:pt idx="11">
                  <c:v>498.12235356630106</c:v>
                </c:pt>
              </c:numCache>
            </c:numRef>
          </c:val>
          <c:extLst>
            <c:ext xmlns:c16="http://schemas.microsoft.com/office/drawing/2014/chart" uri="{C3380CC4-5D6E-409C-BE32-E72D297353CC}">
              <c16:uniqueId val="{00000000-FD39-49C2-8BA4-CAEDCD69291F}"/>
            </c:ext>
          </c:extLst>
        </c:ser>
        <c:ser>
          <c:idx val="1"/>
          <c:order val="1"/>
          <c:tx>
            <c:v>Solar gains</c:v>
          </c:tx>
          <c:spPr>
            <a:solidFill>
              <a:srgbClr val="FFFF99"/>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HtUse!$C$64:$N$64</c:f>
              <c:numCache>
                <c:formatCode>0</c:formatCode>
                <c:ptCount val="12"/>
                <c:pt idx="0">
                  <c:v>154.50820375318725</c:v>
                </c:pt>
                <c:pt idx="1">
                  <c:v>304.2352383898189</c:v>
                </c:pt>
                <c:pt idx="2">
                  <c:v>490.54275073034358</c:v>
                </c:pt>
                <c:pt idx="3">
                  <c:v>632.49657716429408</c:v>
                </c:pt>
                <c:pt idx="4">
                  <c:v>582.06257119672637</c:v>
                </c:pt>
                <c:pt idx="5">
                  <c:v>407.16569905099124</c:v>
                </c:pt>
                <c:pt idx="6">
                  <c:v>247.08491182508453</c:v>
                </c:pt>
                <c:pt idx="7">
                  <c:v>260.47224291767634</c:v>
                </c:pt>
                <c:pt idx="8">
                  <c:v>350.40181453472536</c:v>
                </c:pt>
                <c:pt idx="9">
                  <c:v>352.84666023821563</c:v>
                </c:pt>
                <c:pt idx="10">
                  <c:v>193.4041425669416</c:v>
                </c:pt>
                <c:pt idx="11">
                  <c:v>129.55523537886785</c:v>
                </c:pt>
              </c:numCache>
            </c:numRef>
          </c:val>
          <c:extLst>
            <c:ext xmlns:c16="http://schemas.microsoft.com/office/drawing/2014/chart" uri="{C3380CC4-5D6E-409C-BE32-E72D297353CC}">
              <c16:uniqueId val="{00000001-FD39-49C2-8BA4-CAEDCD69291F}"/>
            </c:ext>
          </c:extLst>
        </c:ser>
        <c:ser>
          <c:idx val="2"/>
          <c:order val="2"/>
          <c:tx>
            <c:v>Heat use</c:v>
          </c:tx>
          <c:spPr>
            <a:solidFill>
              <a:srgbClr val="FF0000"/>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HtUse!$C$53:$N$53</c:f>
              <c:numCache>
                <c:formatCode>0</c:formatCode>
                <c:ptCount val="12"/>
                <c:pt idx="0">
                  <c:v>911.42135289925068</c:v>
                </c:pt>
                <c:pt idx="1">
                  <c:v>745.62904394288853</c:v>
                </c:pt>
                <c:pt idx="2">
                  <c:v>414.82442894682401</c:v>
                </c:pt>
                <c:pt idx="3">
                  <c:v>182.06641983156214</c:v>
                </c:pt>
                <c:pt idx="4">
                  <c:v>32.84155990519821</c:v>
                </c:pt>
                <c:pt idx="5">
                  <c:v>4.8883680982521582</c:v>
                </c:pt>
                <c:pt idx="6">
                  <c:v>0.49960211100631113</c:v>
                </c:pt>
                <c:pt idx="7">
                  <c:v>1.0420412016869136</c:v>
                </c:pt>
                <c:pt idx="8">
                  <c:v>17.131852620382688</c:v>
                </c:pt>
                <c:pt idx="9">
                  <c:v>192.63623369824893</c:v>
                </c:pt>
                <c:pt idx="10">
                  <c:v>624.49655651580974</c:v>
                </c:pt>
                <c:pt idx="11">
                  <c:v>855.26514145718227</c:v>
                </c:pt>
              </c:numCache>
            </c:numRef>
          </c:val>
          <c:extLst>
            <c:ext xmlns:c16="http://schemas.microsoft.com/office/drawing/2014/chart" uri="{C3380CC4-5D6E-409C-BE32-E72D297353CC}">
              <c16:uniqueId val="{00000002-FD39-49C2-8BA4-CAEDCD69291F}"/>
            </c:ext>
          </c:extLst>
        </c:ser>
        <c:dLbls>
          <c:showLegendKey val="0"/>
          <c:showVal val="0"/>
          <c:showCatName val="0"/>
          <c:showSerName val="0"/>
          <c:showPercent val="0"/>
          <c:showBubbleSize val="0"/>
        </c:dLbls>
        <c:gapWidth val="150"/>
        <c:overlap val="100"/>
        <c:axId val="140177408"/>
        <c:axId val="138880704"/>
      </c:barChart>
      <c:catAx>
        <c:axId val="140177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8880704"/>
        <c:crosses val="autoZero"/>
        <c:auto val="1"/>
        <c:lblAlgn val="ctr"/>
        <c:lblOffset val="100"/>
        <c:tickLblSkip val="1"/>
        <c:tickMarkSkip val="1"/>
        <c:noMultiLvlLbl val="0"/>
      </c:catAx>
      <c:valAx>
        <c:axId val="138880704"/>
        <c:scaling>
          <c:orientation val="minMax"/>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177408"/>
        <c:crosses val="autoZero"/>
        <c:crossBetween val="between"/>
      </c:valAx>
      <c:spPr>
        <a:solidFill>
          <a:srgbClr val="C0C0C0"/>
        </a:solidFill>
        <a:ln w="12700">
          <a:solidFill>
            <a:srgbClr val="808080"/>
          </a:solidFill>
          <a:prstDash val="solid"/>
        </a:ln>
      </c:spPr>
    </c:plotArea>
    <c:legend>
      <c:legendPos val="r"/>
      <c:layout>
        <c:manualLayout>
          <c:xMode val="edge"/>
          <c:yMode val="edge"/>
          <c:x val="0.82387557719668614"/>
          <c:y val="0.40677966101694923"/>
          <c:w val="0.16046987277275249"/>
          <c:h val="0.24576271186440674"/>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barChart>
        <c:barDir val="col"/>
        <c:grouping val="clustered"/>
        <c:varyColors val="0"/>
        <c:ser>
          <c:idx val="0"/>
          <c:order val="0"/>
          <c:tx>
            <c:strRef>
              <c:f>Result!$F$2:$F$3</c:f>
              <c:strCache>
                <c:ptCount val="2"/>
                <c:pt idx="0">
                  <c:v>Primary energy</c:v>
                </c:pt>
                <c:pt idx="1">
                  <c:v>[kWh/y]</c:v>
                </c:pt>
              </c:strCache>
            </c:strRef>
          </c:tx>
          <c:invertIfNegative val="0"/>
          <c:cat>
            <c:strRef>
              <c:f>Result!$A$4:$A$16</c:f>
              <c:strCache>
                <c:ptCount val="13"/>
                <c:pt idx="0">
                  <c:v>Space heating - main</c:v>
                </c:pt>
                <c:pt idx="1">
                  <c:v>Space heating - secondary</c:v>
                </c:pt>
                <c:pt idx="2">
                  <c:v>Water heating - main</c:v>
                </c:pt>
                <c:pt idx="3">
                  <c:v>Water heating - supplementary</c:v>
                </c:pt>
                <c:pt idx="4">
                  <c:v>Pumps, fans, etc.</c:v>
                </c:pt>
                <c:pt idx="5">
                  <c:v>Energy for lighting</c:v>
                </c:pt>
                <c:pt idx="6">
                  <c:v>CHP input (individual heating systems only)</c:v>
                </c:pt>
                <c:pt idx="7">
                  <c:v>CHP electrical output (individual heating system only)</c:v>
                </c:pt>
                <c:pt idx="8">
                  <c:v>Photovoltaic/ Wind Turbine</c:v>
                </c:pt>
                <c:pt idx="9">
                  <c:v>Type 1</c:v>
                </c:pt>
                <c:pt idx="10">
                  <c:v>Type 2</c:v>
                </c:pt>
                <c:pt idx="11">
                  <c:v>Type 3</c:v>
                </c:pt>
                <c:pt idx="12">
                  <c:v>Total</c:v>
                </c:pt>
              </c:strCache>
            </c:strRef>
          </c:cat>
          <c:val>
            <c:numRef>
              <c:f>Result!$F$4:$F$16</c:f>
              <c:numCache>
                <c:formatCode>#,##0</c:formatCode>
                <c:ptCount val="13"/>
                <c:pt idx="0">
                  <c:v>3398.9805179622181</c:v>
                </c:pt>
                <c:pt idx="1">
                  <c:v>0</c:v>
                </c:pt>
                <c:pt idx="2">
                  <c:v>2998.3258432545445</c:v>
                </c:pt>
                <c:pt idx="3">
                  <c:v>0</c:v>
                </c:pt>
                <c:pt idx="4">
                  <c:v>201.76000000000002</c:v>
                </c:pt>
                <c:pt idx="5">
                  <c:v>512.75005822435469</c:v>
                </c:pt>
                <c:pt idx="6">
                  <c:v>0</c:v>
                </c:pt>
                <c:pt idx="7">
                  <c:v>0</c:v>
                </c:pt>
                <c:pt idx="8">
                  <c:v>-1842.88</c:v>
                </c:pt>
                <c:pt idx="9">
                  <c:v>0</c:v>
                </c:pt>
                <c:pt idx="10">
                  <c:v>0</c:v>
                </c:pt>
                <c:pt idx="11">
                  <c:v>0</c:v>
                </c:pt>
                <c:pt idx="12">
                  <c:v>5268.9364194411173</c:v>
                </c:pt>
              </c:numCache>
            </c:numRef>
          </c:val>
          <c:extLst>
            <c:ext xmlns:c16="http://schemas.microsoft.com/office/drawing/2014/chart" uri="{C3380CC4-5D6E-409C-BE32-E72D297353CC}">
              <c16:uniqueId val="{00000000-55BD-4107-ABC7-C14D5782FBC8}"/>
            </c:ext>
          </c:extLst>
        </c:ser>
        <c:dLbls>
          <c:showLegendKey val="0"/>
          <c:showVal val="0"/>
          <c:showCatName val="0"/>
          <c:showSerName val="0"/>
          <c:showPercent val="0"/>
          <c:showBubbleSize val="0"/>
        </c:dLbls>
        <c:gapWidth val="150"/>
        <c:axId val="142061568"/>
        <c:axId val="138884160"/>
      </c:barChart>
      <c:catAx>
        <c:axId val="14206156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38884160"/>
        <c:crosses val="autoZero"/>
        <c:auto val="1"/>
        <c:lblAlgn val="ctr"/>
        <c:lblOffset val="100"/>
        <c:noMultiLvlLbl val="0"/>
      </c:catAx>
      <c:valAx>
        <c:axId val="13888416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2061568"/>
        <c:crosses val="autoZero"/>
        <c:crossBetween val="between"/>
      </c:valAx>
    </c:plotArea>
    <c:legend>
      <c:legendPos val="r"/>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Calc'!$AF$5:$AF$11</c:f>
              <c:numCache>
                <c:formatCode>General</c:formatCode>
                <c:ptCount val="7"/>
                <c:pt idx="0">
                  <c:v>0.2</c:v>
                </c:pt>
                <c:pt idx="1">
                  <c:v>0.25</c:v>
                </c:pt>
                <c:pt idx="2">
                  <c:v>0.3</c:v>
                </c:pt>
                <c:pt idx="3">
                  <c:v>0.35</c:v>
                </c:pt>
                <c:pt idx="4">
                  <c:v>0.4</c:v>
                </c:pt>
                <c:pt idx="5">
                  <c:v>0.45</c:v>
                </c:pt>
                <c:pt idx="6">
                  <c:v>0.5</c:v>
                </c:pt>
              </c:numCache>
            </c:numRef>
          </c:xVal>
          <c:yVal>
            <c:numRef>
              <c:f>'Heating Calc'!$AG$5:$AG$11</c:f>
              <c:numCache>
                <c:formatCode>General</c:formatCode>
                <c:ptCount val="7"/>
                <c:pt idx="0">
                  <c:v>0.4</c:v>
                </c:pt>
                <c:pt idx="1">
                  <c:v>0.28000000000000003</c:v>
                </c:pt>
                <c:pt idx="2">
                  <c:v>0.19</c:v>
                </c:pt>
                <c:pt idx="3">
                  <c:v>0.12</c:v>
                </c:pt>
                <c:pt idx="4">
                  <c:v>0.06</c:v>
                </c:pt>
                <c:pt idx="5">
                  <c:v>0.03</c:v>
                </c:pt>
                <c:pt idx="6">
                  <c:v>0.01</c:v>
                </c:pt>
              </c:numCache>
            </c:numRef>
          </c:yVal>
          <c:smooth val="0"/>
          <c:extLst>
            <c:ext xmlns:c16="http://schemas.microsoft.com/office/drawing/2014/chart" uri="{C3380CC4-5D6E-409C-BE32-E72D297353CC}">
              <c16:uniqueId val="{00000001-162E-4BF1-B654-3B242D45F76B}"/>
            </c:ext>
          </c:extLst>
        </c:ser>
        <c:dLbls>
          <c:showLegendKey val="0"/>
          <c:showVal val="0"/>
          <c:showCatName val="0"/>
          <c:showSerName val="0"/>
          <c:showPercent val="0"/>
          <c:showBubbleSize val="0"/>
        </c:dLbls>
        <c:axId val="369700680"/>
        <c:axId val="369701072"/>
      </c:scatterChart>
      <c:valAx>
        <c:axId val="36970068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1072"/>
        <c:crosses val="autoZero"/>
        <c:crossBetween val="midCat"/>
      </c:valAx>
      <c:valAx>
        <c:axId val="369701072"/>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0680"/>
        <c:crosses val="autoZero"/>
        <c:crossBetween val="midCat"/>
      </c:valAx>
    </c:plotArea>
    <c:legend>
      <c:legendPos val="r"/>
      <c:layout>
        <c:manualLayout>
          <c:xMode val="edge"/>
          <c:yMode val="edge"/>
          <c:x val="0.73640242588179294"/>
          <c:y val="0.41463414634146339"/>
          <c:w val="0.24267807216559084"/>
          <c:h val="0.1672473867595819"/>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layout>
                <c:manualLayout>
                  <c:x val="0.24476377952755909"/>
                  <c:y val="-0.67010790317876956"/>
                </c:manualLayout>
              </c:layout>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Calc'!$AF$5:$AF$15</c:f>
              <c:numCache>
                <c:formatCode>General</c:formatCode>
                <c:ptCount val="11"/>
                <c:pt idx="0">
                  <c:v>0.2</c:v>
                </c:pt>
                <c:pt idx="1">
                  <c:v>0.25</c:v>
                </c:pt>
                <c:pt idx="2">
                  <c:v>0.3</c:v>
                </c:pt>
                <c:pt idx="3">
                  <c:v>0.35</c:v>
                </c:pt>
                <c:pt idx="4">
                  <c:v>0.4</c:v>
                </c:pt>
                <c:pt idx="5">
                  <c:v>0.45</c:v>
                </c:pt>
                <c:pt idx="6">
                  <c:v>0.5</c:v>
                </c:pt>
                <c:pt idx="7">
                  <c:v>0.55000000000000004</c:v>
                </c:pt>
                <c:pt idx="8">
                  <c:v>0.6</c:v>
                </c:pt>
                <c:pt idx="9">
                  <c:v>0.65</c:v>
                </c:pt>
                <c:pt idx="10">
                  <c:v>0.7</c:v>
                </c:pt>
              </c:numCache>
            </c:numRef>
          </c:xVal>
          <c:yVal>
            <c:numRef>
              <c:f>'Heating Calc'!$AH$5:$AH$15</c:f>
              <c:numCache>
                <c:formatCode>General</c:formatCode>
                <c:ptCount val="11"/>
                <c:pt idx="0">
                  <c:v>0.53</c:v>
                </c:pt>
                <c:pt idx="1">
                  <c:v>0.43</c:v>
                </c:pt>
                <c:pt idx="2">
                  <c:v>0.34</c:v>
                </c:pt>
                <c:pt idx="3">
                  <c:v>0.27</c:v>
                </c:pt>
                <c:pt idx="4">
                  <c:v>0.2</c:v>
                </c:pt>
                <c:pt idx="5">
                  <c:v>0.14000000000000001</c:v>
                </c:pt>
                <c:pt idx="6">
                  <c:v>0.09</c:v>
                </c:pt>
                <c:pt idx="7">
                  <c:v>0.06</c:v>
                </c:pt>
                <c:pt idx="8">
                  <c:v>0.03</c:v>
                </c:pt>
                <c:pt idx="9">
                  <c:v>0.02</c:v>
                </c:pt>
                <c:pt idx="10">
                  <c:v>0.01</c:v>
                </c:pt>
              </c:numCache>
            </c:numRef>
          </c:yVal>
          <c:smooth val="0"/>
          <c:extLst>
            <c:ext xmlns:c16="http://schemas.microsoft.com/office/drawing/2014/chart" uri="{C3380CC4-5D6E-409C-BE32-E72D297353CC}">
              <c16:uniqueId val="{00000001-89E7-4949-8A2F-CCBC0C50C391}"/>
            </c:ext>
          </c:extLst>
        </c:ser>
        <c:dLbls>
          <c:showLegendKey val="0"/>
          <c:showVal val="0"/>
          <c:showCatName val="0"/>
          <c:showSerName val="0"/>
          <c:showPercent val="0"/>
          <c:showBubbleSize val="0"/>
        </c:dLbls>
        <c:axId val="369703032"/>
        <c:axId val="369705384"/>
      </c:scatterChart>
      <c:valAx>
        <c:axId val="36970303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5384"/>
        <c:crosses val="autoZero"/>
        <c:crossBetween val="midCat"/>
      </c:valAx>
      <c:valAx>
        <c:axId val="3697053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3032"/>
        <c:crosses val="autoZero"/>
        <c:crossBetween val="midCat"/>
      </c:valAx>
    </c:plotArea>
    <c:legend>
      <c:legendPos val="r"/>
      <c:layout>
        <c:manualLayout>
          <c:xMode val="edge"/>
          <c:yMode val="edge"/>
          <c:x val="0.73640242588179294"/>
          <c:y val="0.41403650642991513"/>
          <c:w val="0.24267807216559084"/>
          <c:h val="0.16842162973420277"/>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layout>
                <c:manualLayout>
                  <c:x val="0.30920997375328096"/>
                  <c:y val="-0.68399679206765818"/>
                </c:manualLayout>
              </c:layout>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Calc'!$AF$5:$AF$21</c:f>
              <c:numCache>
                <c:formatCode>General</c:formatCode>
                <c:ptCount val="17"/>
                <c:pt idx="0">
                  <c:v>0.2</c:v>
                </c:pt>
                <c:pt idx="1">
                  <c:v>0.25</c:v>
                </c:pt>
                <c:pt idx="2">
                  <c:v>0.3</c:v>
                </c:pt>
                <c:pt idx="3">
                  <c:v>0.35</c:v>
                </c:pt>
                <c:pt idx="4">
                  <c:v>0.4</c:v>
                </c:pt>
                <c:pt idx="5">
                  <c:v>0.45</c:v>
                </c:pt>
                <c:pt idx="6">
                  <c:v>0.5</c:v>
                </c:pt>
                <c:pt idx="7">
                  <c:v>0.55000000000000004</c:v>
                </c:pt>
                <c:pt idx="8">
                  <c:v>0.6</c:v>
                </c:pt>
                <c:pt idx="9">
                  <c:v>0.65</c:v>
                </c:pt>
                <c:pt idx="10">
                  <c:v>0.7</c:v>
                </c:pt>
                <c:pt idx="11">
                  <c:v>0.75</c:v>
                </c:pt>
                <c:pt idx="12">
                  <c:v>0.8</c:v>
                </c:pt>
                <c:pt idx="13">
                  <c:v>0.85</c:v>
                </c:pt>
                <c:pt idx="14">
                  <c:v>0.9</c:v>
                </c:pt>
                <c:pt idx="15">
                  <c:v>0.95</c:v>
                </c:pt>
                <c:pt idx="16">
                  <c:v>1</c:v>
                </c:pt>
              </c:numCache>
            </c:numRef>
          </c:xVal>
          <c:yVal>
            <c:numRef>
              <c:f>'Heating Calc'!$AI$5:$AI$21</c:f>
              <c:numCache>
                <c:formatCode>General</c:formatCode>
                <c:ptCount val="17"/>
                <c:pt idx="0">
                  <c:v>0.64</c:v>
                </c:pt>
                <c:pt idx="1">
                  <c:v>0.56999999999999995</c:v>
                </c:pt>
                <c:pt idx="2">
                  <c:v>0.49</c:v>
                </c:pt>
                <c:pt idx="3">
                  <c:v>0.42</c:v>
                </c:pt>
                <c:pt idx="4">
                  <c:v>0.35</c:v>
                </c:pt>
                <c:pt idx="5">
                  <c:v>0.28999999999999998</c:v>
                </c:pt>
                <c:pt idx="6">
                  <c:v>0.24</c:v>
                </c:pt>
                <c:pt idx="7">
                  <c:v>0.19</c:v>
                </c:pt>
                <c:pt idx="8">
                  <c:v>0.15</c:v>
                </c:pt>
                <c:pt idx="9">
                  <c:v>0.11</c:v>
                </c:pt>
                <c:pt idx="10">
                  <c:v>0.09</c:v>
                </c:pt>
                <c:pt idx="11">
                  <c:v>0.05</c:v>
                </c:pt>
                <c:pt idx="12">
                  <c:v>0.05</c:v>
                </c:pt>
                <c:pt idx="13">
                  <c:v>0.03</c:v>
                </c:pt>
                <c:pt idx="14">
                  <c:v>0.02</c:v>
                </c:pt>
                <c:pt idx="15">
                  <c:v>0.01</c:v>
                </c:pt>
                <c:pt idx="16">
                  <c:v>0.01</c:v>
                </c:pt>
              </c:numCache>
            </c:numRef>
          </c:yVal>
          <c:smooth val="0"/>
          <c:extLst>
            <c:ext xmlns:c16="http://schemas.microsoft.com/office/drawing/2014/chart" uri="{C3380CC4-5D6E-409C-BE32-E72D297353CC}">
              <c16:uniqueId val="{00000001-2BD7-42E8-B2E6-84B9F5A19F4C}"/>
            </c:ext>
          </c:extLst>
        </c:ser>
        <c:dLbls>
          <c:showLegendKey val="0"/>
          <c:showVal val="0"/>
          <c:showCatName val="0"/>
          <c:showSerName val="0"/>
          <c:showPercent val="0"/>
          <c:showBubbleSize val="0"/>
        </c:dLbls>
        <c:axId val="369703816"/>
        <c:axId val="369705776"/>
      </c:scatterChart>
      <c:valAx>
        <c:axId val="36970381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5776"/>
        <c:crosses val="autoZero"/>
        <c:crossBetween val="midCat"/>
      </c:valAx>
      <c:valAx>
        <c:axId val="369705776"/>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3816"/>
        <c:crosses val="autoZero"/>
        <c:crossBetween val="midCat"/>
      </c:valAx>
    </c:plotArea>
    <c:legend>
      <c:legendPos val="r"/>
      <c:layout>
        <c:manualLayout>
          <c:xMode val="edge"/>
          <c:yMode val="edge"/>
          <c:x val="0.73640242588179294"/>
          <c:y val="0.41319584552627742"/>
          <c:w val="0.24267807216559084"/>
          <c:h val="0.16666723180891863"/>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342900</xdr:colOff>
      <xdr:row>33</xdr:row>
      <xdr:rowOff>190500</xdr:rowOff>
    </xdr:from>
    <xdr:to>
      <xdr:col>10</xdr:col>
      <xdr:colOff>409575</xdr:colOff>
      <xdr:row>45</xdr:row>
      <xdr:rowOff>104775</xdr:rowOff>
    </xdr:to>
    <xdr:sp macro="" textlink="">
      <xdr:nvSpPr>
        <xdr:cNvPr id="15362" name="Text Box 2">
          <a:extLst>
            <a:ext uri="{FF2B5EF4-FFF2-40B4-BE49-F238E27FC236}">
              <a16:creationId xmlns:a16="http://schemas.microsoft.com/office/drawing/2014/main" id="{00000000-0008-0000-0000-0000023C0000}"/>
            </a:ext>
          </a:extLst>
        </xdr:cNvPr>
        <xdr:cNvSpPr txBox="1">
          <a:spLocks noChangeArrowheads="1"/>
        </xdr:cNvSpPr>
      </xdr:nvSpPr>
      <xdr:spPr bwMode="auto">
        <a:xfrm>
          <a:off x="342900" y="7010400"/>
          <a:ext cx="6581775" cy="1933575"/>
        </a:xfrm>
        <a:prstGeom prst="rect">
          <a:avLst/>
        </a:prstGeom>
        <a:solidFill>
          <a:srgbClr val="FFFFFF"/>
        </a:solidFill>
        <a:ln w="9525">
          <a:solidFill>
            <a:srgbClr val="008080"/>
          </a:solidFill>
          <a:miter lim="800000"/>
          <a:headEnd/>
          <a:tailEnd/>
        </a:ln>
      </xdr:spPr>
      <xdr:txBody>
        <a:bodyPr vertOverflow="clip" wrap="square" lIns="27432" tIns="22860" rIns="0" bIns="0" anchor="t" upright="1"/>
        <a:lstStyle/>
        <a:p>
          <a:pPr algn="l" rtl="0">
            <a:defRPr sz="1000"/>
          </a:pPr>
          <a:endParaRPr lang="en-IE" sz="900" b="1" i="0" u="none" strike="noStrike" baseline="0">
            <a:solidFill>
              <a:srgbClr val="000000"/>
            </a:solidFill>
            <a:latin typeface="Myriad Pro"/>
          </a:endParaRPr>
        </a:p>
        <a:p>
          <a:pPr algn="l" rtl="0">
            <a:defRPr sz="1000"/>
          </a:pPr>
          <a:r>
            <a:rPr lang="en-IE" sz="900" b="1" i="0" u="none" strike="noStrike" baseline="0">
              <a:solidFill>
                <a:srgbClr val="000000"/>
              </a:solidFill>
              <a:latin typeface="Myriad Pro"/>
            </a:rPr>
            <a:t>    Disclaimer &amp; Copyright</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Copyright to the Calculation Workbook is owned by The Sustainable Energy Authority of Ireland.</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Apart from normal data entry, you may not make changes to the Calculation Workbook. You may not make alterations to its </a:t>
          </a:r>
        </a:p>
        <a:p>
          <a:pPr algn="l" rtl="0">
            <a:defRPr sz="1000"/>
          </a:pPr>
          <a:r>
            <a:rPr lang="en-IE" sz="900" b="0" i="0" u="none" strike="noStrike" baseline="0">
              <a:solidFill>
                <a:srgbClr val="000000"/>
              </a:solidFill>
              <a:latin typeface="Myriad Pro"/>
            </a:rPr>
            <a:t>   structure, calculation procedures or contained data.</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Neither SEAI, its consultants, suppliers nor any of their employees shall be held liable for any loss or </a:t>
          </a:r>
        </a:p>
        <a:p>
          <a:pPr algn="l" rtl="0">
            <a:defRPr sz="1000"/>
          </a:pPr>
          <a:r>
            <a:rPr lang="en-IE" sz="900" b="0" i="0" u="none" strike="noStrike" baseline="0">
              <a:solidFill>
                <a:srgbClr val="000000"/>
              </a:solidFill>
              <a:latin typeface="Myriad Pro"/>
            </a:rPr>
            <a:t>   damage caused by the Calculation Workbook.</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 2006-2019 The Sustainable Energy Authority of Ireland. All rights reserved.</a:t>
          </a:r>
        </a:p>
      </xdr:txBody>
    </xdr:sp>
    <xdr:clientData/>
  </xdr:twoCellAnchor>
  <xdr:twoCellAnchor editAs="oneCell">
    <xdr:from>
      <xdr:col>4</xdr:col>
      <xdr:colOff>85725</xdr:colOff>
      <xdr:row>0</xdr:row>
      <xdr:rowOff>28575</xdr:rowOff>
    </xdr:from>
    <xdr:to>
      <xdr:col>6</xdr:col>
      <xdr:colOff>495300</xdr:colOff>
      <xdr:row>4</xdr:row>
      <xdr:rowOff>28575</xdr:rowOff>
    </xdr:to>
    <xdr:pic>
      <xdr:nvPicPr>
        <xdr:cNvPr id="15615" name="Picture 11">
          <a:extLst>
            <a:ext uri="{FF2B5EF4-FFF2-40B4-BE49-F238E27FC236}">
              <a16:creationId xmlns:a16="http://schemas.microsoft.com/office/drawing/2014/main" id="{00000000-0008-0000-0000-0000FF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71750" y="28575"/>
          <a:ext cx="2162175" cy="76200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533400</xdr:colOff>
      <xdr:row>21</xdr:row>
      <xdr:rowOff>57150</xdr:rowOff>
    </xdr:from>
    <xdr:to>
      <xdr:col>12</xdr:col>
      <xdr:colOff>466725</xdr:colOff>
      <xdr:row>29</xdr:row>
      <xdr:rowOff>28575</xdr:rowOff>
    </xdr:to>
    <xdr:graphicFrame macro="">
      <xdr:nvGraphicFramePr>
        <xdr:cNvPr id="5408" name="Chart 1">
          <a:extLst>
            <a:ext uri="{FF2B5EF4-FFF2-40B4-BE49-F238E27FC236}">
              <a16:creationId xmlns:a16="http://schemas.microsoft.com/office/drawing/2014/main" id="{00000000-0008-0000-0600-000020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533400</xdr:colOff>
      <xdr:row>29</xdr:row>
      <xdr:rowOff>28575</xdr:rowOff>
    </xdr:from>
    <xdr:to>
      <xdr:col>12</xdr:col>
      <xdr:colOff>476250</xdr:colOff>
      <xdr:row>39</xdr:row>
      <xdr:rowOff>114300</xdr:rowOff>
    </xdr:to>
    <xdr:graphicFrame macro="">
      <xdr:nvGraphicFramePr>
        <xdr:cNvPr id="5409" name="Chart 22">
          <a:extLst>
            <a:ext uri="{FF2B5EF4-FFF2-40B4-BE49-F238E27FC236}">
              <a16:creationId xmlns:a16="http://schemas.microsoft.com/office/drawing/2014/main" id="{00000000-0008-0000-0600-000021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74519</xdr:colOff>
      <xdr:row>97</xdr:row>
      <xdr:rowOff>21852</xdr:rowOff>
    </xdr:from>
    <xdr:to>
      <xdr:col>12</xdr:col>
      <xdr:colOff>122144</xdr:colOff>
      <xdr:row>110</xdr:row>
      <xdr:rowOff>112059</xdr:rowOff>
    </xdr:to>
    <xdr:graphicFrame macro="">
      <xdr:nvGraphicFramePr>
        <xdr:cNvPr id="17592" name="Chart 2">
          <a:extLst>
            <a:ext uri="{FF2B5EF4-FFF2-40B4-BE49-F238E27FC236}">
              <a16:creationId xmlns:a16="http://schemas.microsoft.com/office/drawing/2014/main" id="{00000000-0008-0000-0700-0000B84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33618</xdr:colOff>
      <xdr:row>32</xdr:row>
      <xdr:rowOff>0</xdr:rowOff>
    </xdr:from>
    <xdr:ext cx="184731" cy="264560"/>
    <xdr:sp macro="" textlink="">
      <xdr:nvSpPr>
        <xdr:cNvPr id="3" name="TextBox 2">
          <a:extLst>
            <a:ext uri="{FF2B5EF4-FFF2-40B4-BE49-F238E27FC236}">
              <a16:creationId xmlns:a16="http://schemas.microsoft.com/office/drawing/2014/main" id="{C933A937-3368-4B60-B855-C19B2A3A625C}"/>
            </a:ext>
          </a:extLst>
        </xdr:cNvPr>
        <xdr:cNvSpPr txBox="1"/>
      </xdr:nvSpPr>
      <xdr:spPr>
        <a:xfrm>
          <a:off x="11833412" y="454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xdr:col>
      <xdr:colOff>85725</xdr:colOff>
      <xdr:row>58</xdr:row>
      <xdr:rowOff>85725</xdr:rowOff>
    </xdr:from>
    <xdr:to>
      <xdr:col>10</xdr:col>
      <xdr:colOff>76200</xdr:colOff>
      <xdr:row>72</xdr:row>
      <xdr:rowOff>66675</xdr:rowOff>
    </xdr:to>
    <xdr:graphicFrame macro="">
      <xdr:nvGraphicFramePr>
        <xdr:cNvPr id="4248" name="Chart 1">
          <a:extLst>
            <a:ext uri="{FF2B5EF4-FFF2-40B4-BE49-F238E27FC236}">
              <a16:creationId xmlns:a16="http://schemas.microsoft.com/office/drawing/2014/main" id="{00000000-0008-0000-0900-000098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200025</xdr:colOff>
      <xdr:row>1</xdr:row>
      <xdr:rowOff>85725</xdr:rowOff>
    </xdr:from>
    <xdr:to>
      <xdr:col>19</xdr:col>
      <xdr:colOff>161925</xdr:colOff>
      <xdr:row>25</xdr:row>
      <xdr:rowOff>76200</xdr:rowOff>
    </xdr:to>
    <xdr:graphicFrame macro="">
      <xdr:nvGraphicFramePr>
        <xdr:cNvPr id="19554" name="Chart 1">
          <a:extLst>
            <a:ext uri="{FF2B5EF4-FFF2-40B4-BE49-F238E27FC236}">
              <a16:creationId xmlns:a16="http://schemas.microsoft.com/office/drawing/2014/main" id="{00000000-0008-0000-0D00-0000624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626302</xdr:colOff>
      <xdr:row>2</xdr:row>
      <xdr:rowOff>221791</xdr:rowOff>
    </xdr:from>
    <xdr:to>
      <xdr:col>7</xdr:col>
      <xdr:colOff>679665</xdr:colOff>
      <xdr:row>4</xdr:row>
      <xdr:rowOff>13240</xdr:rowOff>
    </xdr:to>
    <xdr:sp macro="" textlink="">
      <xdr:nvSpPr>
        <xdr:cNvPr id="2" name="TextBox 1">
          <a:extLst>
            <a:ext uri="{FF2B5EF4-FFF2-40B4-BE49-F238E27FC236}">
              <a16:creationId xmlns:a16="http://schemas.microsoft.com/office/drawing/2014/main" id="{833C3BDD-9ACC-4D60-8865-B4942AC15B35}"/>
            </a:ext>
          </a:extLst>
        </xdr:cNvPr>
        <xdr:cNvSpPr txBox="1"/>
      </xdr:nvSpPr>
      <xdr:spPr>
        <a:xfrm>
          <a:off x="12532552" y="1333041"/>
          <a:ext cx="910613" cy="4476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en-IE" sz="1100" b="1" i="0" u="sng" strike="noStrike" baseline="0">
              <a:solidFill>
                <a:srgbClr val="000080"/>
              </a:solidFill>
              <a:latin typeface="Calibri"/>
            </a:rPr>
            <a:t>Colour Key</a:t>
          </a:r>
        </a:p>
      </xdr:txBody>
    </xdr:sp>
    <xdr:clientData/>
  </xdr:twoCellAnchor>
  <xdr:twoCellAnchor>
    <xdr:from>
      <xdr:col>6</xdr:col>
      <xdr:colOff>584201</xdr:colOff>
      <xdr:row>4</xdr:row>
      <xdr:rowOff>162983</xdr:rowOff>
    </xdr:from>
    <xdr:to>
      <xdr:col>8</xdr:col>
      <xdr:colOff>1159935</xdr:colOff>
      <xdr:row>7</xdr:row>
      <xdr:rowOff>125942</xdr:rowOff>
    </xdr:to>
    <xdr:grpSp>
      <xdr:nvGrpSpPr>
        <xdr:cNvPr id="4" name="Group 1694">
          <a:extLst>
            <a:ext uri="{FF2B5EF4-FFF2-40B4-BE49-F238E27FC236}">
              <a16:creationId xmlns:a16="http://schemas.microsoft.com/office/drawing/2014/main" id="{D047853A-9E47-4F0A-BE44-B9747DAD3806}"/>
            </a:ext>
          </a:extLst>
        </xdr:cNvPr>
        <xdr:cNvGrpSpPr>
          <a:grpSpLocks/>
        </xdr:cNvGrpSpPr>
      </xdr:nvGrpSpPr>
      <xdr:grpSpPr bwMode="auto">
        <a:xfrm>
          <a:off x="12776201" y="1485900"/>
          <a:ext cx="3253317" cy="1148292"/>
          <a:chOff x="505" y="5"/>
          <a:chExt cx="301" cy="159"/>
        </a:xfrm>
      </xdr:grpSpPr>
      <xdr:sp macro="" textlink="">
        <xdr:nvSpPr>
          <xdr:cNvPr id="5" name="TextBox 18">
            <a:extLst>
              <a:ext uri="{FF2B5EF4-FFF2-40B4-BE49-F238E27FC236}">
                <a16:creationId xmlns:a16="http://schemas.microsoft.com/office/drawing/2014/main" id="{4D1E532F-A090-42A7-BBB3-F883C1891DD0}"/>
              </a:ext>
            </a:extLst>
          </xdr:cNvPr>
          <xdr:cNvSpPr txBox="1">
            <a:spLocks noChangeArrowheads="1"/>
          </xdr:cNvSpPr>
        </xdr:nvSpPr>
        <xdr:spPr bwMode="auto">
          <a:xfrm>
            <a:off x="505" y="5"/>
            <a:ext cx="31" cy="31"/>
          </a:xfrm>
          <a:prstGeom prst="rect">
            <a:avLst/>
          </a:prstGeom>
          <a:solidFill>
            <a:srgbClr val="FFFF99"/>
          </a:solidFill>
          <a:ln w="9525">
            <a:solidFill>
              <a:srgbClr val="1F497D"/>
            </a:solidFill>
            <a:miter lim="800000"/>
            <a:headEnd/>
            <a:tailEnd/>
          </a:ln>
        </xdr:spPr>
      </xdr:sp>
      <xdr:sp macro="" textlink="">
        <xdr:nvSpPr>
          <xdr:cNvPr id="6" name="TextBox 21">
            <a:extLst>
              <a:ext uri="{FF2B5EF4-FFF2-40B4-BE49-F238E27FC236}">
                <a16:creationId xmlns:a16="http://schemas.microsoft.com/office/drawing/2014/main" id="{5DB29669-2521-45BC-B463-79585120B614}"/>
              </a:ext>
            </a:extLst>
          </xdr:cNvPr>
          <xdr:cNvSpPr txBox="1">
            <a:spLocks noChangeArrowheads="1"/>
          </xdr:cNvSpPr>
        </xdr:nvSpPr>
        <xdr:spPr bwMode="auto">
          <a:xfrm>
            <a:off x="548" y="5"/>
            <a:ext cx="258" cy="38"/>
          </a:xfrm>
          <a:prstGeom prst="rect">
            <a:avLst/>
          </a:prstGeom>
          <a:solidFill>
            <a:srgbClr val="FFFFFF"/>
          </a:solidFill>
          <a:ln>
            <a:noFill/>
          </a:ln>
          <a:extLst/>
        </xdr:spPr>
        <xdr:txBody>
          <a:bodyPr vertOverflow="clip" wrap="square" lIns="27432" tIns="27432" rIns="0" bIns="0" anchor="t" upright="1"/>
          <a:lstStyle/>
          <a:p>
            <a:pPr algn="l" rtl="0">
              <a:defRPr sz="1000"/>
            </a:pPr>
            <a:r>
              <a:rPr lang="en-IE" sz="1100" b="1" i="0" u="none" strike="noStrike" baseline="0">
                <a:solidFill>
                  <a:srgbClr val="000080"/>
                </a:solidFill>
                <a:latin typeface="Calibri"/>
              </a:rPr>
              <a:t>User Input, only editable cells</a:t>
            </a:r>
          </a:p>
        </xdr:txBody>
      </xdr:sp>
      <xdr:sp macro="" textlink="">
        <xdr:nvSpPr>
          <xdr:cNvPr id="7" name="TextBox 23">
            <a:extLst>
              <a:ext uri="{FF2B5EF4-FFF2-40B4-BE49-F238E27FC236}">
                <a16:creationId xmlns:a16="http://schemas.microsoft.com/office/drawing/2014/main" id="{99A7E7B7-5B4B-4A25-BD62-290E17386DDC}"/>
              </a:ext>
            </a:extLst>
          </xdr:cNvPr>
          <xdr:cNvSpPr txBox="1">
            <a:spLocks noChangeArrowheads="1"/>
          </xdr:cNvSpPr>
        </xdr:nvSpPr>
        <xdr:spPr bwMode="auto">
          <a:xfrm>
            <a:off x="548" y="88"/>
            <a:ext cx="222" cy="36"/>
          </a:xfrm>
          <a:prstGeom prst="rect">
            <a:avLst/>
          </a:prstGeom>
          <a:solidFill>
            <a:srgbClr val="FFFFFF"/>
          </a:solidFill>
          <a:ln>
            <a:noFill/>
          </a:ln>
          <a:extLst/>
        </xdr:spPr>
        <xdr:txBody>
          <a:bodyPr vertOverflow="clip" wrap="square" lIns="27432" tIns="22860" rIns="0" bIns="0" anchor="t" upright="1"/>
          <a:lstStyle/>
          <a:p>
            <a:pPr algn="l" rtl="0">
              <a:defRPr sz="1000"/>
            </a:pPr>
            <a:r>
              <a:rPr lang="en-IE" sz="1100" b="1" i="0" u="none" strike="noStrike" baseline="0">
                <a:solidFill>
                  <a:srgbClr val="000080"/>
                </a:solidFill>
                <a:latin typeface="Calibri"/>
              </a:rPr>
              <a:t>Calculated Value</a:t>
            </a:r>
          </a:p>
        </xdr:txBody>
      </xdr:sp>
      <xdr:sp macro="" textlink="">
        <xdr:nvSpPr>
          <xdr:cNvPr id="8" name="TextBox 20">
            <a:extLst>
              <a:ext uri="{FF2B5EF4-FFF2-40B4-BE49-F238E27FC236}">
                <a16:creationId xmlns:a16="http://schemas.microsoft.com/office/drawing/2014/main" id="{491925F6-2A69-458C-8934-372D470A9884}"/>
              </a:ext>
            </a:extLst>
          </xdr:cNvPr>
          <xdr:cNvSpPr txBox="1">
            <a:spLocks noChangeArrowheads="1"/>
          </xdr:cNvSpPr>
        </xdr:nvSpPr>
        <xdr:spPr bwMode="auto">
          <a:xfrm>
            <a:off x="506" y="86"/>
            <a:ext cx="29" cy="28"/>
          </a:xfrm>
          <a:prstGeom prst="rect">
            <a:avLst/>
          </a:prstGeom>
          <a:solidFill>
            <a:srgbClr val="CCFFFF"/>
          </a:solidFill>
          <a:ln w="9525">
            <a:solidFill>
              <a:srgbClr val="1F497D"/>
            </a:solidFill>
            <a:miter lim="800000"/>
            <a:headEnd/>
            <a:tailEnd/>
          </a:ln>
        </xdr:spPr>
      </xdr:sp>
      <xdr:sp macro="" textlink="">
        <xdr:nvSpPr>
          <xdr:cNvPr id="9" name="TextBox 19">
            <a:extLst>
              <a:ext uri="{FF2B5EF4-FFF2-40B4-BE49-F238E27FC236}">
                <a16:creationId xmlns:a16="http://schemas.microsoft.com/office/drawing/2014/main" id="{AE9BADE3-A76D-4269-A20E-35A294D3A04A}"/>
              </a:ext>
            </a:extLst>
          </xdr:cNvPr>
          <xdr:cNvSpPr txBox="1">
            <a:spLocks noChangeArrowheads="1"/>
          </xdr:cNvSpPr>
        </xdr:nvSpPr>
        <xdr:spPr bwMode="auto">
          <a:xfrm>
            <a:off x="507" y="45"/>
            <a:ext cx="29" cy="30"/>
          </a:xfrm>
          <a:prstGeom prst="rect">
            <a:avLst/>
          </a:prstGeom>
          <a:solidFill>
            <a:srgbClr val="CCFFCC"/>
          </a:solidFill>
          <a:ln w="9525">
            <a:solidFill>
              <a:srgbClr val="1F497D"/>
            </a:solidFill>
            <a:miter lim="800000"/>
            <a:headEnd/>
            <a:tailEnd/>
          </a:ln>
        </xdr:spPr>
      </xdr:sp>
      <xdr:sp macro="" textlink="">
        <xdr:nvSpPr>
          <xdr:cNvPr id="10" name="TextBox 22">
            <a:extLst>
              <a:ext uri="{FF2B5EF4-FFF2-40B4-BE49-F238E27FC236}">
                <a16:creationId xmlns:a16="http://schemas.microsoft.com/office/drawing/2014/main" id="{7D1CC75C-A425-483F-A9CA-9EC03AFAC84F}"/>
              </a:ext>
            </a:extLst>
          </xdr:cNvPr>
          <xdr:cNvSpPr txBox="1">
            <a:spLocks noChangeArrowheads="1"/>
          </xdr:cNvSpPr>
        </xdr:nvSpPr>
        <xdr:spPr bwMode="auto">
          <a:xfrm>
            <a:off x="548" y="48"/>
            <a:ext cx="98" cy="36"/>
          </a:xfrm>
          <a:prstGeom prst="rect">
            <a:avLst/>
          </a:prstGeom>
          <a:solidFill>
            <a:srgbClr val="FFFFFF"/>
          </a:solidFill>
          <a:ln>
            <a:noFill/>
          </a:ln>
          <a:extLst/>
        </xdr:spPr>
        <xdr:txBody>
          <a:bodyPr vertOverflow="clip" wrap="square" lIns="27432" tIns="27432" rIns="0" bIns="0" anchor="t" upright="1"/>
          <a:lstStyle/>
          <a:p>
            <a:pPr algn="l" rtl="0">
              <a:defRPr sz="1000"/>
            </a:pPr>
            <a:r>
              <a:rPr lang="en-IE" sz="1100" b="1" i="0" u="none" strike="noStrike" baseline="0">
                <a:solidFill>
                  <a:srgbClr val="000080"/>
                </a:solidFill>
                <a:latin typeface="Calibri"/>
              </a:rPr>
              <a:t>Constant</a:t>
            </a:r>
          </a:p>
        </xdr:txBody>
      </xdr:sp>
      <xdr:sp macro="" textlink="">
        <xdr:nvSpPr>
          <xdr:cNvPr id="11" name="TextBox 23">
            <a:extLst>
              <a:ext uri="{FF2B5EF4-FFF2-40B4-BE49-F238E27FC236}">
                <a16:creationId xmlns:a16="http://schemas.microsoft.com/office/drawing/2014/main" id="{8B1F247B-CA4B-4764-9062-A5BACA647DFD}"/>
              </a:ext>
            </a:extLst>
          </xdr:cNvPr>
          <xdr:cNvSpPr txBox="1">
            <a:spLocks noChangeArrowheads="1"/>
          </xdr:cNvSpPr>
        </xdr:nvSpPr>
        <xdr:spPr bwMode="auto">
          <a:xfrm>
            <a:off x="548" y="122"/>
            <a:ext cx="234" cy="42"/>
          </a:xfrm>
          <a:prstGeom prst="rect">
            <a:avLst/>
          </a:prstGeom>
          <a:solidFill>
            <a:srgbClr val="FFFFFF"/>
          </a:solidFill>
          <a:ln>
            <a:noFill/>
          </a:ln>
          <a:extLst/>
        </xdr:spPr>
        <xdr:txBody>
          <a:bodyPr vertOverflow="clip" wrap="square" lIns="27432" tIns="22860" rIns="0" bIns="0" anchor="t" upright="1"/>
          <a:lstStyle/>
          <a:p>
            <a:pPr algn="l" rtl="0">
              <a:defRPr sz="1000"/>
            </a:pPr>
            <a:r>
              <a:rPr lang="en-IE" sz="1100" b="1" i="0" u="none" strike="noStrike" baseline="0">
                <a:solidFill>
                  <a:srgbClr val="000080"/>
                </a:solidFill>
                <a:latin typeface="Calibri"/>
              </a:rPr>
              <a:t>User does not need to edit, </a:t>
            </a:r>
          </a:p>
          <a:p>
            <a:pPr algn="l" rtl="0">
              <a:defRPr sz="1000"/>
            </a:pPr>
            <a:r>
              <a:rPr lang="en-IE" sz="1100" b="1" i="0" u="none" strike="noStrike" baseline="0">
                <a:solidFill>
                  <a:srgbClr val="000080"/>
                </a:solidFill>
                <a:latin typeface="Calibri"/>
              </a:rPr>
              <a:t>based on previous inputs</a:t>
            </a:r>
          </a:p>
        </xdr:txBody>
      </xdr:sp>
      <xdr:sp macro="" textlink="">
        <xdr:nvSpPr>
          <xdr:cNvPr id="12" name="TextBox 20">
            <a:extLst>
              <a:ext uri="{FF2B5EF4-FFF2-40B4-BE49-F238E27FC236}">
                <a16:creationId xmlns:a16="http://schemas.microsoft.com/office/drawing/2014/main" id="{B60C2247-54E1-4302-9D6D-18824CF4414C}"/>
              </a:ext>
            </a:extLst>
          </xdr:cNvPr>
          <xdr:cNvSpPr txBox="1">
            <a:spLocks noChangeArrowheads="1"/>
          </xdr:cNvSpPr>
        </xdr:nvSpPr>
        <xdr:spPr bwMode="auto">
          <a:xfrm>
            <a:off x="506" y="126"/>
            <a:ext cx="29" cy="28"/>
          </a:xfrm>
          <a:prstGeom prst="rect">
            <a:avLst/>
          </a:prstGeom>
          <a:solidFill>
            <a:srgbClr val="333333"/>
          </a:solidFill>
          <a:ln w="9525">
            <a:solidFill>
              <a:srgbClr val="1F497D"/>
            </a:solidFill>
            <a:miter lim="800000"/>
            <a:headEnd/>
            <a:tailEnd/>
          </a:ln>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35</xdr:col>
      <xdr:colOff>485775</xdr:colOff>
      <xdr:row>2</xdr:row>
      <xdr:rowOff>638175</xdr:rowOff>
    </xdr:from>
    <xdr:to>
      <xdr:col>43</xdr:col>
      <xdr:colOff>161925</xdr:colOff>
      <xdr:row>16</xdr:row>
      <xdr:rowOff>266700</xdr:rowOff>
    </xdr:to>
    <xdr:graphicFrame macro="">
      <xdr:nvGraphicFramePr>
        <xdr:cNvPr id="2" name="Chart 1">
          <a:extLst>
            <a:ext uri="{FF2B5EF4-FFF2-40B4-BE49-F238E27FC236}">
              <a16:creationId xmlns:a16="http://schemas.microsoft.com/office/drawing/2014/main" id="{216FD461-5ED0-40AB-B17C-F44F5AB4B2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36</xdr:col>
      <xdr:colOff>0</xdr:colOff>
      <xdr:row>18</xdr:row>
      <xdr:rowOff>0</xdr:rowOff>
    </xdr:from>
    <xdr:to>
      <xdr:col>43</xdr:col>
      <xdr:colOff>285750</xdr:colOff>
      <xdr:row>32</xdr:row>
      <xdr:rowOff>104775</xdr:rowOff>
    </xdr:to>
    <xdr:graphicFrame macro="">
      <xdr:nvGraphicFramePr>
        <xdr:cNvPr id="3" name="Chart 2">
          <a:extLst>
            <a:ext uri="{FF2B5EF4-FFF2-40B4-BE49-F238E27FC236}">
              <a16:creationId xmlns:a16="http://schemas.microsoft.com/office/drawing/2014/main" id="{C6089D97-877D-4A0E-BFFC-BDE822C0D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36</xdr:col>
      <xdr:colOff>0</xdr:colOff>
      <xdr:row>34</xdr:row>
      <xdr:rowOff>0</xdr:rowOff>
    </xdr:from>
    <xdr:to>
      <xdr:col>43</xdr:col>
      <xdr:colOff>285750</xdr:colOff>
      <xdr:row>38</xdr:row>
      <xdr:rowOff>1114425</xdr:rowOff>
    </xdr:to>
    <xdr:graphicFrame macro="">
      <xdr:nvGraphicFramePr>
        <xdr:cNvPr id="4" name="Chart 3">
          <a:extLst>
            <a:ext uri="{FF2B5EF4-FFF2-40B4-BE49-F238E27FC236}">
              <a16:creationId xmlns:a16="http://schemas.microsoft.com/office/drawing/2014/main" id="{A1BA0F89-215B-4AE9-A8AE-9F8AA3A824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Clients\DECC%20MCS\Standards\Calculators\TSPEC%20Issued\Thermal%20Solar%20Performance%20Energy%20Calculator%20v1.2%20141008%20-%20UNLOCK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john.davies\Documents\A_JDGD\Standards\EN15316-4-2-2008\ASHPs\HTHP's\15316_4_2%20SAPQ%20Model%20A_W%20HTHP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nprotected%20too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sheetName val="Calculator"/>
      <sheetName val="Version Control"/>
      <sheetName val="Calculation"/>
      <sheetName val="SAP Regions"/>
    </sheetNames>
    <sheetDataSet>
      <sheetData sheetId="0" refreshError="1"/>
      <sheetData sheetId="1">
        <row r="14">
          <cell r="K14">
            <v>1</v>
          </cell>
        </row>
        <row r="34">
          <cell r="L34">
            <v>0</v>
          </cell>
        </row>
        <row r="37">
          <cell r="F37">
            <v>1</v>
          </cell>
          <cell r="L37">
            <v>0</v>
          </cell>
        </row>
        <row r="38">
          <cell r="L38">
            <v>1</v>
          </cell>
        </row>
        <row r="51">
          <cell r="F51" t="e">
            <v>#VALUE!</v>
          </cell>
        </row>
        <row r="54">
          <cell r="F54" t="e">
            <v>#N/A</v>
          </cell>
        </row>
        <row r="58">
          <cell r="J58" t="e">
            <v>#N/A</v>
          </cell>
        </row>
        <row r="92">
          <cell r="L92" t="e">
            <v>#N/A</v>
          </cell>
        </row>
      </sheetData>
      <sheetData sheetId="2" refreshError="1"/>
      <sheetData sheetId="3">
        <row r="12">
          <cell r="F12" t="e">
            <v>#VALUE!</v>
          </cell>
        </row>
        <row r="13">
          <cell r="F13" t="e">
            <v>#VALUE!</v>
          </cell>
        </row>
        <row r="14">
          <cell r="AI14">
            <v>0</v>
          </cell>
          <cell r="AJ14" t="str">
            <v>(H3b)</v>
          </cell>
        </row>
        <row r="15">
          <cell r="AI15" t="e">
            <v>#DIV/0!</v>
          </cell>
          <cell r="AJ15" t="str">
            <v>(H4)</v>
          </cell>
        </row>
        <row r="21">
          <cell r="N21" t="str">
            <v>in degrees</v>
          </cell>
        </row>
        <row r="22">
          <cell r="N22" t="str">
            <v>in radians</v>
          </cell>
        </row>
        <row r="24">
          <cell r="N24" t="str">
            <v>(_H5)</v>
          </cell>
          <cell r="AF24" t="str">
            <v>(H7)</v>
          </cell>
          <cell r="AH24" t="str">
            <v>(H9)</v>
          </cell>
          <cell r="AI24" t="str">
            <v>(H10)</v>
          </cell>
          <cell r="AJ24" t="str">
            <v>(H13)</v>
          </cell>
          <cell r="AK24" t="str">
            <v>(H15)</v>
          </cell>
          <cell r="AL24" t="str">
            <v>(H16)</v>
          </cell>
        </row>
        <row r="25">
          <cell r="N25" t="str">
            <v>S</v>
          </cell>
          <cell r="P25">
            <v>1</v>
          </cell>
          <cell r="Q25">
            <v>2</v>
          </cell>
          <cell r="R25">
            <v>3</v>
          </cell>
          <cell r="S25">
            <v>4</v>
          </cell>
          <cell r="T25">
            <v>5</v>
          </cell>
          <cell r="U25">
            <v>6</v>
          </cell>
          <cell r="V25">
            <v>7</v>
          </cell>
          <cell r="W25">
            <v>8</v>
          </cell>
          <cell r="X25">
            <v>9</v>
          </cell>
        </row>
        <row r="26">
          <cell r="N26" t="str">
            <v>Year</v>
          </cell>
          <cell r="P26" t="str">
            <v>k1</v>
          </cell>
          <cell r="Q26" t="str">
            <v>k2</v>
          </cell>
          <cell r="R26" t="str">
            <v>k3</v>
          </cell>
          <cell r="S26" t="str">
            <v>k4</v>
          </cell>
          <cell r="T26" t="str">
            <v>k5</v>
          </cell>
          <cell r="U26" t="str">
            <v>k6</v>
          </cell>
          <cell r="V26" t="str">
            <v>k7</v>
          </cell>
          <cell r="W26" t="str">
            <v>k8</v>
          </cell>
          <cell r="X26" t="str">
            <v>k9</v>
          </cell>
          <cell r="Y26" t="str">
            <v>Pitch</v>
          </cell>
          <cell r="Z26" t="str">
            <v>A</v>
          </cell>
          <cell r="AA26" t="str">
            <v>B</v>
          </cell>
          <cell r="AB26" t="str">
            <v>C</v>
          </cell>
          <cell r="AF26" t="str">
            <v>Solar Energy Available</v>
          </cell>
          <cell r="AH26" t="str">
            <v>Utilisation factor</v>
          </cell>
          <cell r="AI26" t="str">
            <v>Collector performance factor</v>
          </cell>
          <cell r="AJ26" t="str">
            <v>Effective solar volume Veff</v>
          </cell>
          <cell r="AK26" t="str">
            <v>Volume Ratio Veff/Vd</v>
          </cell>
          <cell r="AL26" t="str">
            <v>Solar storage volume factor</v>
          </cell>
        </row>
        <row r="27">
          <cell r="N27" t="str">
            <v>(kWh/m2)</v>
          </cell>
          <cell r="Y27" t="str">
            <v>(rad)_</v>
          </cell>
          <cell r="AF27" t="str">
            <v>(kWh/year)</v>
          </cell>
        </row>
        <row r="28">
          <cell r="N28" t="e">
            <v>#VALUE!</v>
          </cell>
          <cell r="P28">
            <v>-0.66</v>
          </cell>
          <cell r="Q28">
            <v>-0.106</v>
          </cell>
          <cell r="R28">
            <v>2.93</v>
          </cell>
          <cell r="S28">
            <v>3.63</v>
          </cell>
          <cell r="T28">
            <v>-0.374</v>
          </cell>
          <cell r="U28">
            <v>-7.4</v>
          </cell>
          <cell r="V28">
            <v>-2.71</v>
          </cell>
          <cell r="W28">
            <v>-0.99099999999999999</v>
          </cell>
          <cell r="X28">
            <v>4.59</v>
          </cell>
          <cell r="Y28">
            <v>0</v>
          </cell>
          <cell r="Z28">
            <v>0</v>
          </cell>
          <cell r="AA28">
            <v>0</v>
          </cell>
          <cell r="AB28">
            <v>1</v>
          </cell>
          <cell r="AD28">
            <v>61</v>
          </cell>
          <cell r="AE28">
            <v>961.10583333333329</v>
          </cell>
          <cell r="AF28" t="e">
            <v>#VALUE!</v>
          </cell>
          <cell r="AG28" t="e">
            <v>#VALUE!</v>
          </cell>
          <cell r="AH28" t="e">
            <v>#VALUE!</v>
          </cell>
          <cell r="AI28" t="e">
            <v>#DIV/0!</v>
          </cell>
          <cell r="AJ28">
            <v>0</v>
          </cell>
          <cell r="AK28">
            <v>0</v>
          </cell>
          <cell r="AL28" t="e">
            <v>#NUM!</v>
          </cell>
          <cell r="AM28" t="e">
            <v>#VALUE!</v>
          </cell>
        </row>
        <row r="31">
          <cell r="P31" t="str">
            <v>Constants for calculation of solar flux are set according to the orientation of the panels</v>
          </cell>
        </row>
        <row r="38">
          <cell r="N38" t="str">
            <v>Nov</v>
          </cell>
          <cell r="Q38" t="str">
            <v>U4 Latitude</v>
          </cell>
        </row>
        <row r="39">
          <cell r="N39">
            <v>33</v>
          </cell>
          <cell r="Q39">
            <v>53.5</v>
          </cell>
        </row>
        <row r="40">
          <cell r="N40">
            <v>39</v>
          </cell>
          <cell r="Q40">
            <v>51.6</v>
          </cell>
        </row>
        <row r="41">
          <cell r="N41">
            <v>41</v>
          </cell>
          <cell r="Q41">
            <v>51.1</v>
          </cell>
        </row>
        <row r="42">
          <cell r="N42">
            <v>44</v>
          </cell>
          <cell r="Q42">
            <v>50.9</v>
          </cell>
        </row>
        <row r="43">
          <cell r="N43">
            <v>44</v>
          </cell>
          <cell r="Q43">
            <v>50.5</v>
          </cell>
        </row>
        <row r="44">
          <cell r="N44">
            <v>40</v>
          </cell>
          <cell r="Q44">
            <v>51.5</v>
          </cell>
        </row>
        <row r="45">
          <cell r="N45">
            <v>35</v>
          </cell>
          <cell r="Q45">
            <v>52.6</v>
          </cell>
        </row>
        <row r="46">
          <cell r="N46">
            <v>31</v>
          </cell>
          <cell r="Q46">
            <v>53.5</v>
          </cell>
        </row>
        <row r="47">
          <cell r="N47">
            <v>30</v>
          </cell>
          <cell r="Q47">
            <v>54.6</v>
          </cell>
        </row>
        <row r="48">
          <cell r="N48">
            <v>30</v>
          </cell>
          <cell r="Q48">
            <v>55.2</v>
          </cell>
        </row>
        <row r="49">
          <cell r="N49">
            <v>32</v>
          </cell>
          <cell r="Q49">
            <v>54.4</v>
          </cell>
        </row>
        <row r="50">
          <cell r="N50">
            <v>33</v>
          </cell>
          <cell r="Q50">
            <v>53.5</v>
          </cell>
        </row>
        <row r="51">
          <cell r="N51">
            <v>39</v>
          </cell>
          <cell r="Q51">
            <v>52.1</v>
          </cell>
        </row>
        <row r="52">
          <cell r="N52">
            <v>35</v>
          </cell>
          <cell r="Q52">
            <v>52.6</v>
          </cell>
        </row>
        <row r="53">
          <cell r="N53">
            <v>25</v>
          </cell>
          <cell r="Q53">
            <v>55.9</v>
          </cell>
        </row>
        <row r="54">
          <cell r="N54">
            <v>27</v>
          </cell>
          <cell r="Q54">
            <v>56.2</v>
          </cell>
        </row>
        <row r="55">
          <cell r="N55">
            <v>25</v>
          </cell>
          <cell r="Q55">
            <v>57.3</v>
          </cell>
        </row>
        <row r="56">
          <cell r="N56">
            <v>22</v>
          </cell>
          <cell r="Q56">
            <v>57.5</v>
          </cell>
        </row>
        <row r="57">
          <cell r="N57">
            <v>21</v>
          </cell>
          <cell r="Q57">
            <v>57.7</v>
          </cell>
        </row>
        <row r="58">
          <cell r="N58">
            <v>19</v>
          </cell>
          <cell r="Q58">
            <v>59</v>
          </cell>
        </row>
        <row r="59">
          <cell r="N59">
            <v>16</v>
          </cell>
          <cell r="Q59">
            <v>60.1</v>
          </cell>
        </row>
        <row r="60">
          <cell r="N60">
            <v>30</v>
          </cell>
          <cell r="Q60">
            <v>54.6</v>
          </cell>
        </row>
        <row r="77">
          <cell r="N77" t="str">
            <v>Nov</v>
          </cell>
        </row>
        <row r="78">
          <cell r="N78">
            <v>30</v>
          </cell>
        </row>
        <row r="86">
          <cell r="C86">
            <v>0</v>
          </cell>
          <cell r="D86">
            <v>1</v>
          </cell>
          <cell r="E86">
            <v>2</v>
          </cell>
          <cell r="F86">
            <v>3</v>
          </cell>
          <cell r="G86">
            <v>4</v>
          </cell>
          <cell r="H86">
            <v>5</v>
          </cell>
          <cell r="I86">
            <v>6</v>
          </cell>
          <cell r="J86">
            <v>7</v>
          </cell>
          <cell r="K86">
            <v>8</v>
          </cell>
          <cell r="L86">
            <v>9</v>
          </cell>
          <cell r="M86">
            <v>10</v>
          </cell>
          <cell r="N86">
            <v>11</v>
          </cell>
          <cell r="O86">
            <v>12</v>
          </cell>
          <cell r="P86">
            <v>13</v>
          </cell>
          <cell r="Q86">
            <v>14</v>
          </cell>
          <cell r="R86">
            <v>15</v>
          </cell>
          <cell r="S86">
            <v>16</v>
          </cell>
          <cell r="T86">
            <v>17</v>
          </cell>
          <cell r="U86">
            <v>18</v>
          </cell>
          <cell r="V86">
            <v>19</v>
          </cell>
          <cell r="W86">
            <v>20</v>
          </cell>
          <cell r="X86">
            <v>21</v>
          </cell>
          <cell r="Y86">
            <v>22</v>
          </cell>
          <cell r="Z86">
            <v>23</v>
          </cell>
          <cell r="AA86">
            <v>24</v>
          </cell>
          <cell r="AB86">
            <v>25</v>
          </cell>
          <cell r="AC86">
            <v>26</v>
          </cell>
          <cell r="AD86">
            <v>27</v>
          </cell>
          <cell r="AE86">
            <v>28</v>
          </cell>
          <cell r="AF86">
            <v>29</v>
          </cell>
          <cell r="AG86">
            <v>30</v>
          </cell>
          <cell r="AH86">
            <v>31</v>
          </cell>
          <cell r="AI86">
            <v>32</v>
          </cell>
          <cell r="AJ86">
            <v>33</v>
          </cell>
          <cell r="AK86">
            <v>34</v>
          </cell>
          <cell r="AL86">
            <v>35</v>
          </cell>
          <cell r="AM86">
            <v>36</v>
          </cell>
          <cell r="AN86">
            <v>37</v>
          </cell>
          <cell r="AO86">
            <v>38</v>
          </cell>
          <cell r="AP86">
            <v>39</v>
          </cell>
          <cell r="AQ86">
            <v>40</v>
          </cell>
          <cell r="AR86">
            <v>41</v>
          </cell>
          <cell r="AS86">
            <v>42</v>
          </cell>
          <cell r="AT86">
            <v>43</v>
          </cell>
          <cell r="AU86">
            <v>44</v>
          </cell>
          <cell r="AV86">
            <v>45</v>
          </cell>
          <cell r="AW86">
            <v>46</v>
          </cell>
          <cell r="AX86">
            <v>47</v>
          </cell>
          <cell r="AY86">
            <v>48</v>
          </cell>
          <cell r="AZ86">
            <v>49</v>
          </cell>
          <cell r="BA86">
            <v>50</v>
          </cell>
          <cell r="BB86">
            <v>51</v>
          </cell>
          <cell r="BC86">
            <v>52</v>
          </cell>
          <cell r="BD86">
            <v>53</v>
          </cell>
          <cell r="BE86">
            <v>54</v>
          </cell>
          <cell r="BF86">
            <v>55</v>
          </cell>
          <cell r="BG86">
            <v>56</v>
          </cell>
          <cell r="BH86">
            <v>57</v>
          </cell>
          <cell r="BI86">
            <v>58</v>
          </cell>
          <cell r="BJ86">
            <v>59</v>
          </cell>
          <cell r="BK86">
            <v>60</v>
          </cell>
          <cell r="BL86">
            <v>61</v>
          </cell>
          <cell r="BM86">
            <v>62</v>
          </cell>
          <cell r="BN86">
            <v>63</v>
          </cell>
          <cell r="BO86">
            <v>64</v>
          </cell>
          <cell r="BP86">
            <v>65</v>
          </cell>
          <cell r="BQ86">
            <v>66</v>
          </cell>
          <cell r="BR86">
            <v>67</v>
          </cell>
          <cell r="BS86">
            <v>68</v>
          </cell>
          <cell r="BT86">
            <v>69</v>
          </cell>
          <cell r="BU86">
            <v>70</v>
          </cell>
          <cell r="BV86">
            <v>71</v>
          </cell>
          <cell r="BW86">
            <v>72</v>
          </cell>
          <cell r="BX86">
            <v>73</v>
          </cell>
          <cell r="BY86">
            <v>74</v>
          </cell>
          <cell r="BZ86">
            <v>75</v>
          </cell>
          <cell r="CA86">
            <v>76</v>
          </cell>
          <cell r="CB86">
            <v>77</v>
          </cell>
          <cell r="CC86">
            <v>78</v>
          </cell>
          <cell r="CD86">
            <v>79</v>
          </cell>
          <cell r="CE86">
            <v>80</v>
          </cell>
          <cell r="CF86">
            <v>81</v>
          </cell>
          <cell r="CG86">
            <v>82</v>
          </cell>
          <cell r="CH86">
            <v>83</v>
          </cell>
          <cell r="CI86">
            <v>84</v>
          </cell>
          <cell r="CJ86">
            <v>85</v>
          </cell>
          <cell r="CK86">
            <v>86</v>
          </cell>
          <cell r="CL86">
            <v>87</v>
          </cell>
          <cell r="CM86">
            <v>88</v>
          </cell>
          <cell r="CN86">
            <v>89</v>
          </cell>
          <cell r="CO86">
            <v>90</v>
          </cell>
          <cell r="CP86">
            <v>91</v>
          </cell>
          <cell r="CQ86">
            <v>92</v>
          </cell>
          <cell r="CR86">
            <v>93</v>
          </cell>
          <cell r="CS86">
            <v>94</v>
          </cell>
          <cell r="CT86">
            <v>95</v>
          </cell>
          <cell r="CU86">
            <v>96</v>
          </cell>
          <cell r="CV86">
            <v>97</v>
          </cell>
          <cell r="CW86">
            <v>98</v>
          </cell>
          <cell r="CX86">
            <v>99</v>
          </cell>
          <cell r="CY86">
            <v>100</v>
          </cell>
          <cell r="CZ86">
            <v>101</v>
          </cell>
          <cell r="DA86">
            <v>102</v>
          </cell>
          <cell r="DB86">
            <v>103</v>
          </cell>
          <cell r="DC86">
            <v>104</v>
          </cell>
          <cell r="DD86">
            <v>105</v>
          </cell>
          <cell r="DE86">
            <v>106</v>
          </cell>
          <cell r="DF86">
            <v>107</v>
          </cell>
          <cell r="DG86">
            <v>108</v>
          </cell>
          <cell r="DH86">
            <v>109</v>
          </cell>
          <cell r="DI86">
            <v>110</v>
          </cell>
          <cell r="DJ86">
            <v>111</v>
          </cell>
          <cell r="DK86">
            <v>112</v>
          </cell>
          <cell r="DL86">
            <v>113</v>
          </cell>
          <cell r="DM86">
            <v>114</v>
          </cell>
          <cell r="DN86">
            <v>115</v>
          </cell>
          <cell r="DO86">
            <v>116</v>
          </cell>
          <cell r="DP86">
            <v>117</v>
          </cell>
          <cell r="DQ86">
            <v>118</v>
          </cell>
          <cell r="DR86">
            <v>119</v>
          </cell>
          <cell r="DS86">
            <v>120</v>
          </cell>
          <cell r="DT86">
            <v>121</v>
          </cell>
          <cell r="DU86">
            <v>122</v>
          </cell>
          <cell r="DV86">
            <v>123</v>
          </cell>
          <cell r="DW86">
            <v>124</v>
          </cell>
          <cell r="DX86">
            <v>125</v>
          </cell>
          <cell r="DY86">
            <v>126</v>
          </cell>
          <cell r="DZ86">
            <v>127</v>
          </cell>
          <cell r="EA86">
            <v>128</v>
          </cell>
          <cell r="EB86">
            <v>129</v>
          </cell>
          <cell r="EC86">
            <v>130</v>
          </cell>
          <cell r="ED86">
            <v>131</v>
          </cell>
          <cell r="EE86">
            <v>132</v>
          </cell>
          <cell r="EF86">
            <v>133</v>
          </cell>
          <cell r="EG86">
            <v>134</v>
          </cell>
          <cell r="EH86">
            <v>135</v>
          </cell>
          <cell r="EI86">
            <v>136</v>
          </cell>
          <cell r="EJ86">
            <v>137</v>
          </cell>
          <cell r="EK86">
            <v>138</v>
          </cell>
          <cell r="EL86">
            <v>139</v>
          </cell>
          <cell r="EM86">
            <v>140</v>
          </cell>
          <cell r="EN86">
            <v>141</v>
          </cell>
          <cell r="EO86">
            <v>142</v>
          </cell>
          <cell r="EP86">
            <v>143</v>
          </cell>
          <cell r="EQ86">
            <v>144</v>
          </cell>
          <cell r="ER86">
            <v>145</v>
          </cell>
          <cell r="ES86">
            <v>146</v>
          </cell>
          <cell r="ET86">
            <v>147</v>
          </cell>
          <cell r="EU86">
            <v>148</v>
          </cell>
          <cell r="EV86">
            <v>149</v>
          </cell>
          <cell r="EW86">
            <v>150</v>
          </cell>
          <cell r="EX86">
            <v>151</v>
          </cell>
          <cell r="EY86">
            <v>152</v>
          </cell>
          <cell r="EZ86">
            <v>153</v>
          </cell>
          <cell r="FA86">
            <v>154</v>
          </cell>
          <cell r="FB86">
            <v>155</v>
          </cell>
          <cell r="FC86">
            <v>156</v>
          </cell>
          <cell r="FD86">
            <v>157</v>
          </cell>
          <cell r="FE86">
            <v>158</v>
          </cell>
          <cell r="FF86">
            <v>159</v>
          </cell>
          <cell r="FG86">
            <v>160</v>
          </cell>
          <cell r="FH86">
            <v>161</v>
          </cell>
          <cell r="FI86">
            <v>162</v>
          </cell>
          <cell r="FJ86">
            <v>163</v>
          </cell>
          <cell r="FK86">
            <v>164</v>
          </cell>
          <cell r="FL86">
            <v>165</v>
          </cell>
          <cell r="FM86">
            <v>166</v>
          </cell>
          <cell r="FN86">
            <v>167</v>
          </cell>
          <cell r="FO86">
            <v>168</v>
          </cell>
          <cell r="FP86">
            <v>169</v>
          </cell>
          <cell r="FQ86">
            <v>170</v>
          </cell>
          <cell r="FR86">
            <v>171</v>
          </cell>
          <cell r="FS86">
            <v>172</v>
          </cell>
          <cell r="FT86">
            <v>173</v>
          </cell>
          <cell r="FU86">
            <v>174</v>
          </cell>
          <cell r="FV86">
            <v>175</v>
          </cell>
          <cell r="FW86">
            <v>176</v>
          </cell>
          <cell r="FX86">
            <v>177</v>
          </cell>
          <cell r="FY86">
            <v>178</v>
          </cell>
          <cell r="FZ86">
            <v>179</v>
          </cell>
          <cell r="GA86">
            <v>180</v>
          </cell>
        </row>
        <row r="87">
          <cell r="C87" t="str">
            <v>South</v>
          </cell>
          <cell r="AV87" t="str">
            <v>SE/SW</v>
          </cell>
          <cell r="CO87" t="str">
            <v>E/W</v>
          </cell>
          <cell r="EH87" t="str">
            <v>NE/NW</v>
          </cell>
          <cell r="GA87" t="str">
            <v>North</v>
          </cell>
        </row>
        <row r="88">
          <cell r="B88" t="str">
            <v>k1</v>
          </cell>
          <cell r="C88">
            <v>-0.66</v>
          </cell>
          <cell r="D88">
            <v>-0.7108888888888889</v>
          </cell>
          <cell r="E88">
            <v>-0.76177777777777778</v>
          </cell>
          <cell r="F88">
            <v>-0.81266666666666665</v>
          </cell>
          <cell r="G88">
            <v>-0.86355555555555552</v>
          </cell>
          <cell r="H88">
            <v>-0.91444444444444439</v>
          </cell>
          <cell r="I88">
            <v>-0.96533333333333327</v>
          </cell>
          <cell r="J88">
            <v>-1.0162222222222221</v>
          </cell>
          <cell r="K88">
            <v>-1.0671111111111111</v>
          </cell>
          <cell r="L88">
            <v>-1.1180000000000001</v>
          </cell>
          <cell r="M88">
            <v>-1.1688888888888891</v>
          </cell>
          <cell r="N88">
            <v>-1.2197777777777781</v>
          </cell>
          <cell r="O88">
            <v>-1.2706666666666671</v>
          </cell>
          <cell r="P88">
            <v>-1.321555555555556</v>
          </cell>
          <cell r="Q88">
            <v>-1.372444444444445</v>
          </cell>
          <cell r="R88">
            <v>-1.423333333333334</v>
          </cell>
          <cell r="S88">
            <v>-1.474222222222223</v>
          </cell>
          <cell r="T88">
            <v>-1.525111111111112</v>
          </cell>
          <cell r="U88">
            <v>-1.576000000000001</v>
          </cell>
          <cell r="V88">
            <v>-1.6268888888888899</v>
          </cell>
          <cell r="W88">
            <v>-1.6777777777777789</v>
          </cell>
          <cell r="X88">
            <v>-1.7286666666666679</v>
          </cell>
          <cell r="Y88">
            <v>-1.7795555555555569</v>
          </cell>
          <cell r="Z88">
            <v>-1.8304444444444459</v>
          </cell>
          <cell r="AA88">
            <v>-1.8813333333333349</v>
          </cell>
          <cell r="AB88">
            <v>-1.9322222222222238</v>
          </cell>
          <cell r="AC88">
            <v>-1.9831111111111128</v>
          </cell>
          <cell r="AD88">
            <v>-2.0340000000000016</v>
          </cell>
          <cell r="AE88">
            <v>-2.0848888888888903</v>
          </cell>
          <cell r="AF88">
            <v>-2.1357777777777791</v>
          </cell>
          <cell r="AG88">
            <v>-2.1866666666666679</v>
          </cell>
          <cell r="AH88">
            <v>-2.2375555555555566</v>
          </cell>
          <cell r="AI88">
            <v>-2.2884444444444454</v>
          </cell>
          <cell r="AJ88">
            <v>-2.3393333333333342</v>
          </cell>
          <cell r="AK88">
            <v>-2.3902222222222229</v>
          </cell>
          <cell r="AL88">
            <v>-2.4411111111111117</v>
          </cell>
          <cell r="AM88">
            <v>-2.4920000000000004</v>
          </cell>
          <cell r="AN88">
            <v>-2.5428888888888892</v>
          </cell>
          <cell r="AO88">
            <v>-2.593777777777778</v>
          </cell>
          <cell r="AP88">
            <v>-2.6446666666666667</v>
          </cell>
          <cell r="AQ88">
            <v>-2.6955555555555555</v>
          </cell>
          <cell r="AR88">
            <v>-2.7464444444444442</v>
          </cell>
          <cell r="AS88">
            <v>-2.797333333333333</v>
          </cell>
          <cell r="AT88">
            <v>-2.8482222222222218</v>
          </cell>
          <cell r="AU88">
            <v>-2.8991111111111105</v>
          </cell>
          <cell r="AV88">
            <v>-2.95</v>
          </cell>
          <cell r="AW88">
            <v>-2.8524444444444446</v>
          </cell>
          <cell r="AX88">
            <v>-2.7548888888888889</v>
          </cell>
          <cell r="AY88">
            <v>-2.6573333333333333</v>
          </cell>
          <cell r="AZ88">
            <v>-2.5597777777777777</v>
          </cell>
          <cell r="BA88">
            <v>-2.4622222222222221</v>
          </cell>
          <cell r="BB88">
            <v>-2.3646666666666665</v>
          </cell>
          <cell r="BC88">
            <v>-2.2671111111111109</v>
          </cell>
          <cell r="BD88">
            <v>-2.1695555555555552</v>
          </cell>
          <cell r="BE88">
            <v>-2.0719999999999996</v>
          </cell>
          <cell r="BF88">
            <v>-1.974444444444444</v>
          </cell>
          <cell r="BG88">
            <v>-1.8768888888888884</v>
          </cell>
          <cell r="BH88">
            <v>-1.7793333333333328</v>
          </cell>
          <cell r="BI88">
            <v>-1.6817777777777771</v>
          </cell>
          <cell r="BJ88">
            <v>-1.5842222222222215</v>
          </cell>
          <cell r="BK88">
            <v>-1.4866666666666659</v>
          </cell>
          <cell r="BL88">
            <v>-1.3891111111111103</v>
          </cell>
          <cell r="BM88">
            <v>-1.2915555555555547</v>
          </cell>
          <cell r="BN88">
            <v>-1.1939999999999991</v>
          </cell>
          <cell r="BO88">
            <v>-1.0964444444444434</v>
          </cell>
          <cell r="BP88">
            <v>-0.99888888888888783</v>
          </cell>
          <cell r="BQ88">
            <v>-0.90133333333333221</v>
          </cell>
          <cell r="BR88">
            <v>-0.80377777777777659</v>
          </cell>
          <cell r="BS88">
            <v>-0.70622222222222097</v>
          </cell>
          <cell r="BT88">
            <v>-0.60866666666666536</v>
          </cell>
          <cell r="BU88">
            <v>-0.51111111111110974</v>
          </cell>
          <cell r="BV88">
            <v>-0.41355555555555418</v>
          </cell>
          <cell r="BW88">
            <v>-0.31599999999999862</v>
          </cell>
          <cell r="BX88">
            <v>-0.21844444444444305</v>
          </cell>
          <cell r="BY88">
            <v>-0.12088888888888749</v>
          </cell>
          <cell r="BZ88">
            <v>-2.3333333333331929E-2</v>
          </cell>
          <cell r="CA88">
            <v>7.4222222222223633E-2</v>
          </cell>
          <cell r="CB88">
            <v>0.17177777777777919</v>
          </cell>
          <cell r="CC88">
            <v>0.26933333333333476</v>
          </cell>
          <cell r="CD88">
            <v>0.36688888888889032</v>
          </cell>
          <cell r="CE88">
            <v>0.46444444444444588</v>
          </cell>
          <cell r="CF88">
            <v>0.56200000000000139</v>
          </cell>
          <cell r="CG88">
            <v>0.659555555555557</v>
          </cell>
          <cell r="CH88">
            <v>0.75711111111111262</v>
          </cell>
          <cell r="CI88">
            <v>0.85466666666666824</v>
          </cell>
          <cell r="CJ88">
            <v>0.95222222222222386</v>
          </cell>
          <cell r="CK88">
            <v>1.0497777777777795</v>
          </cell>
          <cell r="CL88">
            <v>1.1473333333333351</v>
          </cell>
          <cell r="CM88">
            <v>1.2448888888888907</v>
          </cell>
          <cell r="CN88">
            <v>1.3424444444444463</v>
          </cell>
          <cell r="CO88">
            <v>1.44</v>
          </cell>
          <cell r="CP88">
            <v>1.4116666666666666</v>
          </cell>
          <cell r="CQ88">
            <v>1.3833333333333333</v>
          </cell>
          <cell r="CR88">
            <v>1.355</v>
          </cell>
          <cell r="CS88">
            <v>1.3266666666666667</v>
          </cell>
          <cell r="CT88">
            <v>1.2983333333333333</v>
          </cell>
          <cell r="CU88">
            <v>1.27</v>
          </cell>
          <cell r="CV88">
            <v>1.2416666666666667</v>
          </cell>
          <cell r="CW88">
            <v>1.2133333333333334</v>
          </cell>
          <cell r="CX88">
            <v>1.1850000000000001</v>
          </cell>
          <cell r="CY88">
            <v>1.1566666666666667</v>
          </cell>
          <cell r="CZ88">
            <v>1.1283333333333334</v>
          </cell>
          <cell r="DA88">
            <v>1.1000000000000001</v>
          </cell>
          <cell r="DB88">
            <v>1.0716666666666668</v>
          </cell>
          <cell r="DC88">
            <v>1.0433333333333334</v>
          </cell>
          <cell r="DD88">
            <v>1.0150000000000001</v>
          </cell>
          <cell r="DE88">
            <v>0.9866666666666668</v>
          </cell>
          <cell r="DF88">
            <v>0.95833333333333348</v>
          </cell>
          <cell r="DG88">
            <v>0.93000000000000016</v>
          </cell>
          <cell r="DH88">
            <v>0.90166666666666684</v>
          </cell>
          <cell r="DI88">
            <v>0.87333333333333352</v>
          </cell>
          <cell r="DJ88">
            <v>0.8450000000000002</v>
          </cell>
          <cell r="DK88">
            <v>0.81666666666666687</v>
          </cell>
          <cell r="DL88">
            <v>0.78833333333333355</v>
          </cell>
          <cell r="DM88">
            <v>0.76000000000000023</v>
          </cell>
          <cell r="DN88">
            <v>0.73166666666666691</v>
          </cell>
          <cell r="DO88">
            <v>0.70333333333333359</v>
          </cell>
          <cell r="DP88">
            <v>0.67500000000000027</v>
          </cell>
          <cell r="DQ88">
            <v>0.64666666666666694</v>
          </cell>
          <cell r="DR88">
            <v>0.61833333333333362</v>
          </cell>
          <cell r="DS88">
            <v>0.5900000000000003</v>
          </cell>
          <cell r="DT88">
            <v>0.56166666666666698</v>
          </cell>
          <cell r="DU88">
            <v>0.53333333333333366</v>
          </cell>
          <cell r="DV88">
            <v>0.50500000000000034</v>
          </cell>
          <cell r="DW88">
            <v>0.47666666666666702</v>
          </cell>
          <cell r="DX88">
            <v>0.44833333333333369</v>
          </cell>
          <cell r="DY88">
            <v>0.42000000000000037</v>
          </cell>
          <cell r="DZ88">
            <v>0.39166666666666705</v>
          </cell>
          <cell r="EA88">
            <v>0.36333333333333373</v>
          </cell>
          <cell r="EB88">
            <v>0.33500000000000041</v>
          </cell>
          <cell r="EC88">
            <v>0.30666666666666709</v>
          </cell>
          <cell r="ED88">
            <v>0.27833333333333377</v>
          </cell>
          <cell r="EE88">
            <v>0.25000000000000044</v>
          </cell>
          <cell r="EF88">
            <v>0.22166666666666712</v>
          </cell>
          <cell r="EG88">
            <v>0.1933333333333338</v>
          </cell>
          <cell r="EH88">
            <v>0.16500000000000001</v>
          </cell>
          <cell r="EI88">
            <v>0.74577777777777787</v>
          </cell>
          <cell r="EJ88">
            <v>1.3265555555555557</v>
          </cell>
          <cell r="EK88">
            <v>1.9073333333333335</v>
          </cell>
          <cell r="EL88">
            <v>2.4881111111111114</v>
          </cell>
          <cell r="EM88">
            <v>3.068888888888889</v>
          </cell>
          <cell r="EN88">
            <v>3.6496666666666666</v>
          </cell>
          <cell r="EO88">
            <v>4.2304444444444442</v>
          </cell>
          <cell r="EP88">
            <v>4.8112222222222218</v>
          </cell>
          <cell r="EQ88">
            <v>5.3919999999999995</v>
          </cell>
          <cell r="ER88">
            <v>5.9727777777777771</v>
          </cell>
          <cell r="ES88">
            <v>6.5535555555555547</v>
          </cell>
          <cell r="ET88">
            <v>7.1343333333333323</v>
          </cell>
          <cell r="EU88">
            <v>7.7151111111111099</v>
          </cell>
          <cell r="EV88">
            <v>8.2958888888888875</v>
          </cell>
          <cell r="EW88">
            <v>8.8766666666666652</v>
          </cell>
          <cell r="EX88">
            <v>9.4574444444444428</v>
          </cell>
          <cell r="EY88">
            <v>10.03822222222222</v>
          </cell>
          <cell r="EZ88">
            <v>10.618999999999998</v>
          </cell>
          <cell r="FA88">
            <v>11.199777777777776</v>
          </cell>
          <cell r="FB88">
            <v>11.780555555555553</v>
          </cell>
          <cell r="FC88">
            <v>12.361333333333331</v>
          </cell>
          <cell r="FD88">
            <v>12.942111111111108</v>
          </cell>
          <cell r="FE88">
            <v>13.522888888888886</v>
          </cell>
          <cell r="FF88">
            <v>14.103666666666664</v>
          </cell>
          <cell r="FG88">
            <v>14.684444444444441</v>
          </cell>
          <cell r="FH88">
            <v>15.265222222222219</v>
          </cell>
          <cell r="FI88">
            <v>15.845999999999997</v>
          </cell>
          <cell r="FJ88">
            <v>16.426777777777776</v>
          </cell>
          <cell r="FK88">
            <v>17.007555555555555</v>
          </cell>
          <cell r="FL88">
            <v>17.588333333333335</v>
          </cell>
          <cell r="FM88">
            <v>18.169111111111114</v>
          </cell>
          <cell r="FN88">
            <v>18.749888888888893</v>
          </cell>
          <cell r="FO88">
            <v>19.330666666666673</v>
          </cell>
          <cell r="FP88">
            <v>19.911444444444452</v>
          </cell>
          <cell r="FQ88">
            <v>20.492222222222232</v>
          </cell>
          <cell r="FR88">
            <v>21.073000000000011</v>
          </cell>
          <cell r="FS88">
            <v>21.65377777777779</v>
          </cell>
          <cell r="FT88">
            <v>22.23455555555557</v>
          </cell>
          <cell r="FU88">
            <v>22.815333333333349</v>
          </cell>
          <cell r="FV88">
            <v>23.396111111111129</v>
          </cell>
          <cell r="FW88">
            <v>23.976888888888908</v>
          </cell>
          <cell r="FX88">
            <v>24.557666666666687</v>
          </cell>
          <cell r="FY88">
            <v>25.138444444444467</v>
          </cell>
          <cell r="FZ88">
            <v>25.719222222222246</v>
          </cell>
          <cell r="GA88">
            <v>26.3</v>
          </cell>
        </row>
        <row r="89">
          <cell r="B89" t="str">
            <v>k2</v>
          </cell>
          <cell r="C89">
            <v>-0.106</v>
          </cell>
          <cell r="D89">
            <v>-3.942222222222222E-2</v>
          </cell>
          <cell r="E89">
            <v>2.7155555555555558E-2</v>
          </cell>
          <cell r="F89">
            <v>9.3733333333333335E-2</v>
          </cell>
          <cell r="G89">
            <v>0.16031111111111113</v>
          </cell>
          <cell r="H89">
            <v>0.22688888888888892</v>
          </cell>
          <cell r="I89">
            <v>0.29346666666666671</v>
          </cell>
          <cell r="J89">
            <v>0.3600444444444445</v>
          </cell>
          <cell r="K89">
            <v>0.42662222222222229</v>
          </cell>
          <cell r="L89">
            <v>0.49320000000000008</v>
          </cell>
          <cell r="M89">
            <v>0.55977777777777782</v>
          </cell>
          <cell r="N89">
            <v>0.62635555555555555</v>
          </cell>
          <cell r="O89">
            <v>0.69293333333333329</v>
          </cell>
          <cell r="P89">
            <v>0.75951111111111103</v>
          </cell>
          <cell r="Q89">
            <v>0.82608888888888876</v>
          </cell>
          <cell r="R89">
            <v>0.8926666666666665</v>
          </cell>
          <cell r="S89">
            <v>0.95924444444444423</v>
          </cell>
          <cell r="T89">
            <v>1.025822222222222</v>
          </cell>
          <cell r="U89">
            <v>1.0923999999999998</v>
          </cell>
          <cell r="V89">
            <v>1.1589777777777777</v>
          </cell>
          <cell r="W89">
            <v>1.2255555555555555</v>
          </cell>
          <cell r="X89">
            <v>1.2921333333333334</v>
          </cell>
          <cell r="Y89">
            <v>1.3587111111111112</v>
          </cell>
          <cell r="Z89">
            <v>1.425288888888889</v>
          </cell>
          <cell r="AA89">
            <v>1.4918666666666669</v>
          </cell>
          <cell r="AB89">
            <v>1.5584444444444447</v>
          </cell>
          <cell r="AC89">
            <v>1.6250222222222226</v>
          </cell>
          <cell r="AD89">
            <v>1.6916000000000004</v>
          </cell>
          <cell r="AE89">
            <v>1.7581777777777783</v>
          </cell>
          <cell r="AF89">
            <v>1.8247555555555561</v>
          </cell>
          <cell r="AG89">
            <v>1.891333333333334</v>
          </cell>
          <cell r="AH89">
            <v>1.9579111111111118</v>
          </cell>
          <cell r="AI89">
            <v>2.0244888888888894</v>
          </cell>
          <cell r="AJ89">
            <v>2.0910666666666673</v>
          </cell>
          <cell r="AK89">
            <v>2.1576444444444451</v>
          </cell>
          <cell r="AL89">
            <v>2.224222222222223</v>
          </cell>
          <cell r="AM89">
            <v>2.2908000000000008</v>
          </cell>
          <cell r="AN89">
            <v>2.3573777777777787</v>
          </cell>
          <cell r="AO89">
            <v>2.4239555555555565</v>
          </cell>
          <cell r="AP89">
            <v>2.4905333333333344</v>
          </cell>
          <cell r="AQ89">
            <v>2.5571111111111122</v>
          </cell>
          <cell r="AR89">
            <v>2.6236888888888901</v>
          </cell>
          <cell r="AS89">
            <v>2.6902666666666679</v>
          </cell>
          <cell r="AT89">
            <v>2.7568444444444458</v>
          </cell>
          <cell r="AU89">
            <v>2.8234222222222236</v>
          </cell>
          <cell r="AV89">
            <v>2.89</v>
          </cell>
          <cell r="AW89">
            <v>2.7733333333333334</v>
          </cell>
          <cell r="AX89">
            <v>2.6566666666666667</v>
          </cell>
          <cell r="AY89">
            <v>2.54</v>
          </cell>
          <cell r="AZ89">
            <v>2.4233333333333333</v>
          </cell>
          <cell r="BA89">
            <v>2.3066666666666666</v>
          </cell>
          <cell r="BB89">
            <v>2.19</v>
          </cell>
          <cell r="BC89">
            <v>2.0733333333333333</v>
          </cell>
          <cell r="BD89">
            <v>1.9566666666666666</v>
          </cell>
          <cell r="BE89">
            <v>1.8399999999999999</v>
          </cell>
          <cell r="BF89">
            <v>1.7233333333333332</v>
          </cell>
          <cell r="BG89">
            <v>1.6066666666666665</v>
          </cell>
          <cell r="BH89">
            <v>1.4899999999999998</v>
          </cell>
          <cell r="BI89">
            <v>1.3733333333333331</v>
          </cell>
          <cell r="BJ89">
            <v>1.2566666666666664</v>
          </cell>
          <cell r="BK89">
            <v>1.1399999999999997</v>
          </cell>
          <cell r="BL89">
            <v>1.023333333333333</v>
          </cell>
          <cell r="BM89">
            <v>0.90666666666666629</v>
          </cell>
          <cell r="BN89">
            <v>0.78999999999999959</v>
          </cell>
          <cell r="BO89">
            <v>0.6733333333333329</v>
          </cell>
          <cell r="BP89">
            <v>0.5566666666666662</v>
          </cell>
          <cell r="BQ89">
            <v>0.4399999999999995</v>
          </cell>
          <cell r="BR89">
            <v>0.32333333333333281</v>
          </cell>
          <cell r="BS89">
            <v>0.20666666666666614</v>
          </cell>
          <cell r="BT89">
            <v>8.9999999999999469E-2</v>
          </cell>
          <cell r="BU89">
            <v>-2.6666666666667199E-2</v>
          </cell>
          <cell r="BV89">
            <v>-0.14333333333333387</v>
          </cell>
          <cell r="BW89">
            <v>-0.26000000000000056</v>
          </cell>
          <cell r="BX89">
            <v>-0.37666666666666726</v>
          </cell>
          <cell r="BY89">
            <v>-0.49333333333333396</v>
          </cell>
          <cell r="BZ89">
            <v>-0.61000000000000065</v>
          </cell>
          <cell r="CA89">
            <v>-0.72666666666666735</v>
          </cell>
          <cell r="CB89">
            <v>-0.84333333333333405</v>
          </cell>
          <cell r="CC89">
            <v>-0.96000000000000074</v>
          </cell>
          <cell r="CD89">
            <v>-1.0766666666666673</v>
          </cell>
          <cell r="CE89">
            <v>-1.193333333333334</v>
          </cell>
          <cell r="CF89">
            <v>-1.3100000000000007</v>
          </cell>
          <cell r="CG89">
            <v>-1.4266666666666674</v>
          </cell>
          <cell r="CH89">
            <v>-1.5433333333333341</v>
          </cell>
          <cell r="CI89">
            <v>-1.6600000000000008</v>
          </cell>
          <cell r="CJ89">
            <v>-1.7766666666666675</v>
          </cell>
          <cell r="CK89">
            <v>-1.8933333333333342</v>
          </cell>
          <cell r="CL89">
            <v>-2.0100000000000007</v>
          </cell>
          <cell r="CM89">
            <v>-2.1266666666666674</v>
          </cell>
          <cell r="CN89">
            <v>-2.2433333333333341</v>
          </cell>
          <cell r="CO89">
            <v>-2.36</v>
          </cell>
          <cell r="CP89">
            <v>-2.3893333333333331</v>
          </cell>
          <cell r="CQ89">
            <v>-2.4186666666666663</v>
          </cell>
          <cell r="CR89">
            <v>-2.4479999999999995</v>
          </cell>
          <cell r="CS89">
            <v>-2.4773333333333327</v>
          </cell>
          <cell r="CT89">
            <v>-2.5066666666666659</v>
          </cell>
          <cell r="CU89">
            <v>-2.5359999999999991</v>
          </cell>
          <cell r="CV89">
            <v>-2.5653333333333324</v>
          </cell>
          <cell r="CW89">
            <v>-2.5946666666666656</v>
          </cell>
          <cell r="CX89">
            <v>-2.6239999999999988</v>
          </cell>
          <cell r="CY89">
            <v>-2.653333333333332</v>
          </cell>
          <cell r="CZ89">
            <v>-2.6826666666666652</v>
          </cell>
          <cell r="DA89">
            <v>-2.7119999999999984</v>
          </cell>
          <cell r="DB89">
            <v>-2.7413333333333316</v>
          </cell>
          <cell r="DC89">
            <v>-2.7706666666666648</v>
          </cell>
          <cell r="DD89">
            <v>-2.799999999999998</v>
          </cell>
          <cell r="DE89">
            <v>-2.8293333333333313</v>
          </cell>
          <cell r="DF89">
            <v>-2.8586666666666645</v>
          </cell>
          <cell r="DG89">
            <v>-2.8879999999999977</v>
          </cell>
          <cell r="DH89">
            <v>-2.9173333333333309</v>
          </cell>
          <cell r="DI89">
            <v>-2.9466666666666641</v>
          </cell>
          <cell r="DJ89">
            <v>-2.9759999999999973</v>
          </cell>
          <cell r="DK89">
            <v>-3.0053333333333305</v>
          </cell>
          <cell r="DL89">
            <v>-3.0346666666666637</v>
          </cell>
          <cell r="DM89">
            <v>-3.0639999999999969</v>
          </cell>
          <cell r="DN89">
            <v>-3.0933333333333302</v>
          </cell>
          <cell r="DO89">
            <v>-3.1226666666666634</v>
          </cell>
          <cell r="DP89">
            <v>-3.1519999999999966</v>
          </cell>
          <cell r="DQ89">
            <v>-3.1813333333333298</v>
          </cell>
          <cell r="DR89">
            <v>-3.210666666666663</v>
          </cell>
          <cell r="DS89">
            <v>-3.2399999999999962</v>
          </cell>
          <cell r="DT89">
            <v>-3.2693333333333294</v>
          </cell>
          <cell r="DU89">
            <v>-3.2986666666666626</v>
          </cell>
          <cell r="DV89">
            <v>-3.3279999999999959</v>
          </cell>
          <cell r="DW89">
            <v>-3.3573333333333291</v>
          </cell>
          <cell r="DX89">
            <v>-3.3866666666666623</v>
          </cell>
          <cell r="DY89">
            <v>-3.4159999999999955</v>
          </cell>
          <cell r="DZ89">
            <v>-3.4453333333333287</v>
          </cell>
          <cell r="EA89">
            <v>-3.4746666666666619</v>
          </cell>
          <cell r="EB89">
            <v>-3.5039999999999951</v>
          </cell>
          <cell r="EC89">
            <v>-3.5333333333333283</v>
          </cell>
          <cell r="ED89">
            <v>-3.5626666666666615</v>
          </cell>
          <cell r="EE89">
            <v>-3.5919999999999948</v>
          </cell>
          <cell r="EF89">
            <v>-3.621333333333328</v>
          </cell>
          <cell r="EG89">
            <v>-3.6506666666666612</v>
          </cell>
          <cell r="EH89">
            <v>-3.68</v>
          </cell>
          <cell r="EI89">
            <v>-4.4537777777777778</v>
          </cell>
          <cell r="EJ89">
            <v>-5.227555555555556</v>
          </cell>
          <cell r="EK89">
            <v>-6.0013333333333341</v>
          </cell>
          <cell r="EL89">
            <v>-6.7751111111111122</v>
          </cell>
          <cell r="EM89">
            <v>-7.5488888888888903</v>
          </cell>
          <cell r="EN89">
            <v>-8.3226666666666684</v>
          </cell>
          <cell r="EO89">
            <v>-9.0964444444444457</v>
          </cell>
          <cell r="EP89">
            <v>-9.8702222222222229</v>
          </cell>
          <cell r="EQ89">
            <v>-10.644</v>
          </cell>
          <cell r="ER89">
            <v>-11.417777777777777</v>
          </cell>
          <cell r="ES89">
            <v>-12.191555555555555</v>
          </cell>
          <cell r="ET89">
            <v>-12.965333333333332</v>
          </cell>
          <cell r="EU89">
            <v>-13.739111111111109</v>
          </cell>
          <cell r="EV89">
            <v>-14.512888888888886</v>
          </cell>
          <cell r="EW89">
            <v>-15.286666666666664</v>
          </cell>
          <cell r="EX89">
            <v>-16.060444444444443</v>
          </cell>
          <cell r="EY89">
            <v>-16.83422222222222</v>
          </cell>
          <cell r="EZ89">
            <v>-17.607999999999997</v>
          </cell>
          <cell r="FA89">
            <v>-18.381777777777774</v>
          </cell>
          <cell r="FB89">
            <v>-19.155555555555551</v>
          </cell>
          <cell r="FC89">
            <v>-19.929333333333329</v>
          </cell>
          <cell r="FD89">
            <v>-20.703111111111106</v>
          </cell>
          <cell r="FE89">
            <v>-21.476888888888883</v>
          </cell>
          <cell r="FF89">
            <v>-22.25066666666666</v>
          </cell>
          <cell r="FG89">
            <v>-23.024444444444438</v>
          </cell>
          <cell r="FH89">
            <v>-23.798222222222215</v>
          </cell>
          <cell r="FI89">
            <v>-24.571999999999992</v>
          </cell>
          <cell r="FJ89">
            <v>-25.345777777777769</v>
          </cell>
          <cell r="FK89">
            <v>-26.119555555555547</v>
          </cell>
          <cell r="FL89">
            <v>-26.893333333333324</v>
          </cell>
          <cell r="FM89">
            <v>-27.667111111111101</v>
          </cell>
          <cell r="FN89">
            <v>-28.440888888888878</v>
          </cell>
          <cell r="FO89">
            <v>-29.214666666666655</v>
          </cell>
          <cell r="FP89">
            <v>-29.988444444444433</v>
          </cell>
          <cell r="FQ89">
            <v>-30.76222222222221</v>
          </cell>
          <cell r="FR89">
            <v>-31.535999999999987</v>
          </cell>
          <cell r="FS89">
            <v>-32.309777777777768</v>
          </cell>
          <cell r="FT89">
            <v>-33.083555555555549</v>
          </cell>
          <cell r="FU89">
            <v>-33.85733333333333</v>
          </cell>
          <cell r="FV89">
            <v>-34.63111111111111</v>
          </cell>
          <cell r="FW89">
            <v>-35.404888888888891</v>
          </cell>
          <cell r="FX89">
            <v>-36.178666666666672</v>
          </cell>
          <cell r="FY89">
            <v>-36.952444444444453</v>
          </cell>
          <cell r="FZ89">
            <v>-37.726222222222233</v>
          </cell>
          <cell r="GA89">
            <v>-38.5</v>
          </cell>
        </row>
        <row r="90">
          <cell r="B90" t="str">
            <v>k3</v>
          </cell>
          <cell r="C90">
            <v>2.93</v>
          </cell>
          <cell r="D90">
            <v>2.8908888888888891</v>
          </cell>
          <cell r="E90">
            <v>2.851777777777778</v>
          </cell>
          <cell r="F90">
            <v>2.8126666666666669</v>
          </cell>
          <cell r="G90">
            <v>2.7735555555555558</v>
          </cell>
          <cell r="H90">
            <v>2.7344444444444447</v>
          </cell>
          <cell r="I90">
            <v>2.6953333333333336</v>
          </cell>
          <cell r="J90">
            <v>2.6562222222222225</v>
          </cell>
          <cell r="K90">
            <v>2.6171111111111114</v>
          </cell>
          <cell r="L90">
            <v>2.5780000000000003</v>
          </cell>
          <cell r="M90">
            <v>2.5388888888888892</v>
          </cell>
          <cell r="N90">
            <v>2.4997777777777781</v>
          </cell>
          <cell r="O90">
            <v>2.460666666666667</v>
          </cell>
          <cell r="P90">
            <v>2.4215555555555559</v>
          </cell>
          <cell r="Q90">
            <v>2.3824444444444448</v>
          </cell>
          <cell r="R90">
            <v>2.3433333333333337</v>
          </cell>
          <cell r="S90">
            <v>2.3042222222222226</v>
          </cell>
          <cell r="T90">
            <v>2.2651111111111115</v>
          </cell>
          <cell r="U90">
            <v>2.2260000000000004</v>
          </cell>
          <cell r="V90">
            <v>2.1868888888888893</v>
          </cell>
          <cell r="W90">
            <v>2.1477777777777782</v>
          </cell>
          <cell r="X90">
            <v>2.1086666666666671</v>
          </cell>
          <cell r="Y90">
            <v>2.069555555555556</v>
          </cell>
          <cell r="Z90">
            <v>2.0304444444444449</v>
          </cell>
          <cell r="AA90">
            <v>1.9913333333333338</v>
          </cell>
          <cell r="AB90">
            <v>1.9522222222222227</v>
          </cell>
          <cell r="AC90">
            <v>1.9131111111111117</v>
          </cell>
          <cell r="AD90">
            <v>1.8740000000000006</v>
          </cell>
          <cell r="AE90">
            <v>1.8348888888888895</v>
          </cell>
          <cell r="AF90">
            <v>1.7957777777777784</v>
          </cell>
          <cell r="AG90">
            <v>1.7566666666666673</v>
          </cell>
          <cell r="AH90">
            <v>1.7175555555555562</v>
          </cell>
          <cell r="AI90">
            <v>1.6784444444444451</v>
          </cell>
          <cell r="AJ90">
            <v>1.639333333333334</v>
          </cell>
          <cell r="AK90">
            <v>1.6002222222222229</v>
          </cell>
          <cell r="AL90">
            <v>1.5611111111111118</v>
          </cell>
          <cell r="AM90">
            <v>1.5220000000000007</v>
          </cell>
          <cell r="AN90">
            <v>1.4828888888888896</v>
          </cell>
          <cell r="AO90">
            <v>1.4437777777777785</v>
          </cell>
          <cell r="AP90">
            <v>1.4046666666666674</v>
          </cell>
          <cell r="AQ90">
            <v>1.3655555555555563</v>
          </cell>
          <cell r="AR90">
            <v>1.3264444444444452</v>
          </cell>
          <cell r="AS90">
            <v>1.2873333333333341</v>
          </cell>
          <cell r="AT90">
            <v>1.248222222222223</v>
          </cell>
          <cell r="AU90">
            <v>1.2091111111111119</v>
          </cell>
          <cell r="AV90">
            <v>1.17</v>
          </cell>
          <cell r="AW90">
            <v>1.1677777777777778</v>
          </cell>
          <cell r="AX90">
            <v>1.1655555555555557</v>
          </cell>
          <cell r="AY90">
            <v>1.1633333333333336</v>
          </cell>
          <cell r="AZ90">
            <v>1.1611111111111114</v>
          </cell>
          <cell r="BA90">
            <v>1.1588888888888893</v>
          </cell>
          <cell r="BB90">
            <v>1.1566666666666672</v>
          </cell>
          <cell r="BC90">
            <v>1.1544444444444451</v>
          </cell>
          <cell r="BD90">
            <v>1.1522222222222229</v>
          </cell>
          <cell r="BE90">
            <v>1.1500000000000008</v>
          </cell>
          <cell r="BF90">
            <v>1.1477777777777787</v>
          </cell>
          <cell r="BG90">
            <v>1.1455555555555565</v>
          </cell>
          <cell r="BH90">
            <v>1.1433333333333344</v>
          </cell>
          <cell r="BI90">
            <v>1.1411111111111123</v>
          </cell>
          <cell r="BJ90">
            <v>1.1388888888888902</v>
          </cell>
          <cell r="BK90">
            <v>1.136666666666668</v>
          </cell>
          <cell r="BL90">
            <v>1.1344444444444459</v>
          </cell>
          <cell r="BM90">
            <v>1.1322222222222238</v>
          </cell>
          <cell r="BN90">
            <v>1.1300000000000017</v>
          </cell>
          <cell r="BO90">
            <v>1.1277777777777795</v>
          </cell>
          <cell r="BP90">
            <v>1.1255555555555574</v>
          </cell>
          <cell r="BQ90">
            <v>1.1233333333333353</v>
          </cell>
          <cell r="BR90">
            <v>1.1211111111111132</v>
          </cell>
          <cell r="BS90">
            <v>1.118888888888891</v>
          </cell>
          <cell r="BT90">
            <v>1.1166666666666689</v>
          </cell>
          <cell r="BU90">
            <v>1.1144444444444468</v>
          </cell>
          <cell r="BV90">
            <v>1.1122222222222247</v>
          </cell>
          <cell r="BW90">
            <v>1.1100000000000025</v>
          </cell>
          <cell r="BX90">
            <v>1.1077777777777804</v>
          </cell>
          <cell r="BY90">
            <v>1.1055555555555583</v>
          </cell>
          <cell r="BZ90">
            <v>1.1033333333333362</v>
          </cell>
          <cell r="CA90">
            <v>1.101111111111114</v>
          </cell>
          <cell r="CB90">
            <v>1.0988888888888919</v>
          </cell>
          <cell r="CC90">
            <v>1.0966666666666698</v>
          </cell>
          <cell r="CD90">
            <v>1.0944444444444477</v>
          </cell>
          <cell r="CE90">
            <v>1.0922222222222255</v>
          </cell>
          <cell r="CF90">
            <v>1.0900000000000034</v>
          </cell>
          <cell r="CG90">
            <v>1.0877777777777813</v>
          </cell>
          <cell r="CH90">
            <v>1.0855555555555592</v>
          </cell>
          <cell r="CI90">
            <v>1.083333333333337</v>
          </cell>
          <cell r="CJ90">
            <v>1.0811111111111149</v>
          </cell>
          <cell r="CK90">
            <v>1.0788888888888928</v>
          </cell>
          <cell r="CL90">
            <v>1.0766666666666707</v>
          </cell>
          <cell r="CM90">
            <v>1.0744444444444485</v>
          </cell>
          <cell r="CN90">
            <v>1.0722222222222264</v>
          </cell>
          <cell r="CO90">
            <v>1.07</v>
          </cell>
          <cell r="CP90">
            <v>1.112888888888889</v>
          </cell>
          <cell r="CQ90">
            <v>1.155777777777778</v>
          </cell>
          <cell r="CR90">
            <v>1.198666666666667</v>
          </cell>
          <cell r="CS90">
            <v>1.241555555555556</v>
          </cell>
          <cell r="CT90">
            <v>1.2844444444444449</v>
          </cell>
          <cell r="CU90">
            <v>1.3273333333333339</v>
          </cell>
          <cell r="CV90">
            <v>1.3702222222222229</v>
          </cell>
          <cell r="CW90">
            <v>1.4131111111111119</v>
          </cell>
          <cell r="CX90">
            <v>1.4560000000000008</v>
          </cell>
          <cell r="CY90">
            <v>1.4988888888888898</v>
          </cell>
          <cell r="CZ90">
            <v>1.5417777777777788</v>
          </cell>
          <cell r="DA90">
            <v>1.5846666666666678</v>
          </cell>
          <cell r="DB90">
            <v>1.6275555555555568</v>
          </cell>
          <cell r="DC90">
            <v>1.6704444444444457</v>
          </cell>
          <cell r="DD90">
            <v>1.7133333333333347</v>
          </cell>
          <cell r="DE90">
            <v>1.7562222222222237</v>
          </cell>
          <cell r="DF90">
            <v>1.7991111111111127</v>
          </cell>
          <cell r="DG90">
            <v>1.8420000000000016</v>
          </cell>
          <cell r="DH90">
            <v>1.8848888888888906</v>
          </cell>
          <cell r="DI90">
            <v>1.9277777777777796</v>
          </cell>
          <cell r="DJ90">
            <v>1.9706666666666686</v>
          </cell>
          <cell r="DK90">
            <v>2.0135555555555573</v>
          </cell>
          <cell r="DL90">
            <v>2.0564444444444461</v>
          </cell>
          <cell r="DM90">
            <v>2.0993333333333348</v>
          </cell>
          <cell r="DN90">
            <v>2.1422222222222236</v>
          </cell>
          <cell r="DO90">
            <v>2.1851111111111123</v>
          </cell>
          <cell r="DP90">
            <v>2.2280000000000011</v>
          </cell>
          <cell r="DQ90">
            <v>2.2708888888888898</v>
          </cell>
          <cell r="DR90">
            <v>2.3137777777777786</v>
          </cell>
          <cell r="DS90">
            <v>2.3566666666666674</v>
          </cell>
          <cell r="DT90">
            <v>2.3995555555555561</v>
          </cell>
          <cell r="DU90">
            <v>2.4424444444444449</v>
          </cell>
          <cell r="DV90">
            <v>2.4853333333333336</v>
          </cell>
          <cell r="DW90">
            <v>2.5282222222222224</v>
          </cell>
          <cell r="DX90">
            <v>2.5711111111111111</v>
          </cell>
          <cell r="DY90">
            <v>2.6139999999999999</v>
          </cell>
          <cell r="DZ90">
            <v>2.6568888888888886</v>
          </cell>
          <cell r="EA90">
            <v>2.6997777777777774</v>
          </cell>
          <cell r="EB90">
            <v>2.7426666666666661</v>
          </cell>
          <cell r="EC90">
            <v>2.7855555555555549</v>
          </cell>
          <cell r="ED90">
            <v>2.8284444444444437</v>
          </cell>
          <cell r="EE90">
            <v>2.8713333333333324</v>
          </cell>
          <cell r="EF90">
            <v>2.9142222222222212</v>
          </cell>
          <cell r="EG90">
            <v>2.9571111111111099</v>
          </cell>
          <cell r="EH90">
            <v>3</v>
          </cell>
          <cell r="EI90">
            <v>3.2622222222222224</v>
          </cell>
          <cell r="EJ90">
            <v>3.5244444444444447</v>
          </cell>
          <cell r="EK90">
            <v>3.7866666666666671</v>
          </cell>
          <cell r="EL90">
            <v>4.0488888888888894</v>
          </cell>
          <cell r="EM90">
            <v>4.3111111111111118</v>
          </cell>
          <cell r="EN90">
            <v>4.5733333333333341</v>
          </cell>
          <cell r="EO90">
            <v>4.8355555555555565</v>
          </cell>
          <cell r="EP90">
            <v>5.0977777777777789</v>
          </cell>
          <cell r="EQ90">
            <v>5.3600000000000012</v>
          </cell>
          <cell r="ER90">
            <v>5.6222222222222236</v>
          </cell>
          <cell r="ES90">
            <v>5.8844444444444459</v>
          </cell>
          <cell r="ET90">
            <v>6.1466666666666683</v>
          </cell>
          <cell r="EU90">
            <v>6.4088888888888906</v>
          </cell>
          <cell r="EV90">
            <v>6.671111111111113</v>
          </cell>
          <cell r="EW90">
            <v>6.9333333333333353</v>
          </cell>
          <cell r="EX90">
            <v>7.1955555555555577</v>
          </cell>
          <cell r="EY90">
            <v>7.4577777777777801</v>
          </cell>
          <cell r="EZ90">
            <v>7.7200000000000024</v>
          </cell>
          <cell r="FA90">
            <v>7.9822222222222248</v>
          </cell>
          <cell r="FB90">
            <v>8.2444444444444471</v>
          </cell>
          <cell r="FC90">
            <v>8.5066666666666695</v>
          </cell>
          <cell r="FD90">
            <v>8.7688888888888918</v>
          </cell>
          <cell r="FE90">
            <v>9.0311111111111142</v>
          </cell>
          <cell r="FF90">
            <v>9.2933333333333366</v>
          </cell>
          <cell r="FG90">
            <v>9.5555555555555589</v>
          </cell>
          <cell r="FH90">
            <v>9.8177777777777813</v>
          </cell>
          <cell r="FI90">
            <v>10.080000000000004</v>
          </cell>
          <cell r="FJ90">
            <v>10.342222222222226</v>
          </cell>
          <cell r="FK90">
            <v>10.604444444444448</v>
          </cell>
          <cell r="FL90">
            <v>10.866666666666671</v>
          </cell>
          <cell r="FM90">
            <v>11.128888888888893</v>
          </cell>
          <cell r="FN90">
            <v>11.391111111111115</v>
          </cell>
          <cell r="FO90">
            <v>11.653333333333338</v>
          </cell>
          <cell r="FP90">
            <v>11.91555555555556</v>
          </cell>
          <cell r="FQ90">
            <v>12.177777777777782</v>
          </cell>
          <cell r="FR90">
            <v>12.440000000000005</v>
          </cell>
          <cell r="FS90">
            <v>12.702222222222227</v>
          </cell>
          <cell r="FT90">
            <v>12.96444444444445</v>
          </cell>
          <cell r="FU90">
            <v>13.226666666666672</v>
          </cell>
          <cell r="FV90">
            <v>13.488888888888894</v>
          </cell>
          <cell r="FW90">
            <v>13.751111111111117</v>
          </cell>
          <cell r="FX90">
            <v>14.013333333333339</v>
          </cell>
          <cell r="FY90">
            <v>14.275555555555561</v>
          </cell>
          <cell r="FZ90">
            <v>14.537777777777784</v>
          </cell>
          <cell r="GA90">
            <v>14.8</v>
          </cell>
        </row>
        <row r="91">
          <cell r="B91" t="str">
            <v>k4</v>
          </cell>
          <cell r="C91">
            <v>3.63</v>
          </cell>
          <cell r="D91">
            <v>3.6753333333333331</v>
          </cell>
          <cell r="E91">
            <v>3.7206666666666663</v>
          </cell>
          <cell r="F91">
            <v>3.7659999999999996</v>
          </cell>
          <cell r="G91">
            <v>3.8113333333333328</v>
          </cell>
          <cell r="H91">
            <v>3.856666666666666</v>
          </cell>
          <cell r="I91">
            <v>3.9019999999999992</v>
          </cell>
          <cell r="J91">
            <v>3.9473333333333325</v>
          </cell>
          <cell r="K91">
            <v>3.9926666666666657</v>
          </cell>
          <cell r="L91">
            <v>4.0379999999999994</v>
          </cell>
          <cell r="M91">
            <v>4.083333333333333</v>
          </cell>
          <cell r="N91">
            <v>4.1286666666666667</v>
          </cell>
          <cell r="O91">
            <v>4.1740000000000004</v>
          </cell>
          <cell r="P91">
            <v>4.219333333333334</v>
          </cell>
          <cell r="Q91">
            <v>4.2646666666666677</v>
          </cell>
          <cell r="R91">
            <v>4.3100000000000014</v>
          </cell>
          <cell r="S91">
            <v>4.3553333333333351</v>
          </cell>
          <cell r="T91">
            <v>4.4006666666666687</v>
          </cell>
          <cell r="U91">
            <v>4.4460000000000024</v>
          </cell>
          <cell r="V91">
            <v>4.4913333333333361</v>
          </cell>
          <cell r="W91">
            <v>4.5366666666666697</v>
          </cell>
          <cell r="X91">
            <v>4.5820000000000034</v>
          </cell>
          <cell r="Y91">
            <v>4.6273333333333371</v>
          </cell>
          <cell r="Z91">
            <v>4.6726666666666707</v>
          </cell>
          <cell r="AA91">
            <v>4.7180000000000044</v>
          </cell>
          <cell r="AB91">
            <v>4.7633333333333381</v>
          </cell>
          <cell r="AC91">
            <v>4.8086666666666718</v>
          </cell>
          <cell r="AD91">
            <v>4.8540000000000054</v>
          </cell>
          <cell r="AE91">
            <v>4.8993333333333391</v>
          </cell>
          <cell r="AF91">
            <v>4.9446666666666728</v>
          </cell>
          <cell r="AG91">
            <v>4.9900000000000064</v>
          </cell>
          <cell r="AH91">
            <v>5.0353333333333401</v>
          </cell>
          <cell r="AI91">
            <v>5.0806666666666738</v>
          </cell>
          <cell r="AJ91">
            <v>5.1260000000000074</v>
          </cell>
          <cell r="AK91">
            <v>5.1713333333333411</v>
          </cell>
          <cell r="AL91">
            <v>5.2166666666666748</v>
          </cell>
          <cell r="AM91">
            <v>5.2620000000000084</v>
          </cell>
          <cell r="AN91">
            <v>5.3073333333333421</v>
          </cell>
          <cell r="AO91">
            <v>5.3526666666666758</v>
          </cell>
          <cell r="AP91">
            <v>5.3980000000000095</v>
          </cell>
          <cell r="AQ91">
            <v>5.4433333333333431</v>
          </cell>
          <cell r="AR91">
            <v>5.4886666666666768</v>
          </cell>
          <cell r="AS91">
            <v>5.5340000000000105</v>
          </cell>
          <cell r="AT91">
            <v>5.5793333333333441</v>
          </cell>
          <cell r="AU91">
            <v>5.6246666666666778</v>
          </cell>
          <cell r="AV91">
            <v>5.67</v>
          </cell>
          <cell r="AW91">
            <v>5.532577777777778</v>
          </cell>
          <cell r="AX91">
            <v>5.3951555555555561</v>
          </cell>
          <cell r="AY91">
            <v>5.2577333333333343</v>
          </cell>
          <cell r="AZ91">
            <v>5.1203111111111124</v>
          </cell>
          <cell r="BA91">
            <v>4.9828888888888905</v>
          </cell>
          <cell r="BB91">
            <v>4.8454666666666686</v>
          </cell>
          <cell r="BC91">
            <v>4.7080444444444467</v>
          </cell>
          <cell r="BD91">
            <v>4.5706222222222248</v>
          </cell>
          <cell r="BE91">
            <v>4.4332000000000029</v>
          </cell>
          <cell r="BF91">
            <v>4.295777777777781</v>
          </cell>
          <cell r="BG91">
            <v>4.1583555555555591</v>
          </cell>
          <cell r="BH91">
            <v>4.0209333333333372</v>
          </cell>
          <cell r="BI91">
            <v>3.8835111111111149</v>
          </cell>
          <cell r="BJ91">
            <v>3.7460888888888926</v>
          </cell>
          <cell r="BK91">
            <v>3.6086666666666702</v>
          </cell>
          <cell r="BL91">
            <v>3.4712444444444479</v>
          </cell>
          <cell r="BM91">
            <v>3.3338222222222256</v>
          </cell>
          <cell r="BN91">
            <v>3.1964000000000032</v>
          </cell>
          <cell r="BO91">
            <v>3.0589777777777809</v>
          </cell>
          <cell r="BP91">
            <v>2.9215555555555586</v>
          </cell>
          <cell r="BQ91">
            <v>2.7841333333333362</v>
          </cell>
          <cell r="BR91">
            <v>2.6467111111111139</v>
          </cell>
          <cell r="BS91">
            <v>2.5092888888888916</v>
          </cell>
          <cell r="BT91">
            <v>2.3718666666666692</v>
          </cell>
          <cell r="BU91">
            <v>2.2344444444444469</v>
          </cell>
          <cell r="BV91">
            <v>2.0970222222222246</v>
          </cell>
          <cell r="BW91">
            <v>1.9596000000000022</v>
          </cell>
          <cell r="BX91">
            <v>1.8221777777777799</v>
          </cell>
          <cell r="BY91">
            <v>1.6847555555555576</v>
          </cell>
          <cell r="BZ91">
            <v>1.5473333333333352</v>
          </cell>
          <cell r="CA91">
            <v>1.4099111111111129</v>
          </cell>
          <cell r="CB91">
            <v>1.2724888888888906</v>
          </cell>
          <cell r="CC91">
            <v>1.1350666666666682</v>
          </cell>
          <cell r="CD91">
            <v>0.997644444444446</v>
          </cell>
          <cell r="CE91">
            <v>0.86022222222222378</v>
          </cell>
          <cell r="CF91">
            <v>0.72280000000000155</v>
          </cell>
          <cell r="CG91">
            <v>0.58537777777777933</v>
          </cell>
          <cell r="CH91">
            <v>0.44795555555555711</v>
          </cell>
          <cell r="CI91">
            <v>0.31053333333333488</v>
          </cell>
          <cell r="CJ91">
            <v>0.17311111111111266</v>
          </cell>
          <cell r="CK91">
            <v>3.5688888888890435E-2</v>
          </cell>
          <cell r="CL91">
            <v>-0.10173333333333179</v>
          </cell>
          <cell r="CM91">
            <v>-0.23915555555555401</v>
          </cell>
          <cell r="CN91">
            <v>-0.37657777777777623</v>
          </cell>
          <cell r="CO91">
            <v>-0.51400000000000001</v>
          </cell>
          <cell r="CP91">
            <v>-0.36080000000000001</v>
          </cell>
          <cell r="CQ91">
            <v>-0.20760000000000001</v>
          </cell>
          <cell r="CR91">
            <v>-5.4400000000000004E-2</v>
          </cell>
          <cell r="CS91">
            <v>9.8799999999999999E-2</v>
          </cell>
          <cell r="CT91">
            <v>0.252</v>
          </cell>
          <cell r="CU91">
            <v>0.4052</v>
          </cell>
          <cell r="CV91">
            <v>0.55840000000000001</v>
          </cell>
          <cell r="CW91">
            <v>0.71160000000000001</v>
          </cell>
          <cell r="CX91">
            <v>0.86480000000000001</v>
          </cell>
          <cell r="CY91">
            <v>1.018</v>
          </cell>
          <cell r="CZ91">
            <v>1.1712</v>
          </cell>
          <cell r="DA91">
            <v>1.3244</v>
          </cell>
          <cell r="DB91">
            <v>1.4776</v>
          </cell>
          <cell r="DC91">
            <v>1.6308</v>
          </cell>
          <cell r="DD91">
            <v>1.784</v>
          </cell>
          <cell r="DE91">
            <v>1.9372</v>
          </cell>
          <cell r="DF91">
            <v>2.0903999999999998</v>
          </cell>
          <cell r="DG91">
            <v>2.2435999999999998</v>
          </cell>
          <cell r="DH91">
            <v>2.3967999999999998</v>
          </cell>
          <cell r="DI91">
            <v>2.5499999999999998</v>
          </cell>
          <cell r="DJ91">
            <v>2.7031999999999998</v>
          </cell>
          <cell r="DK91">
            <v>2.8563999999999998</v>
          </cell>
          <cell r="DL91">
            <v>3.0095999999999998</v>
          </cell>
          <cell r="DM91">
            <v>3.1627999999999998</v>
          </cell>
          <cell r="DN91">
            <v>3.3159999999999998</v>
          </cell>
          <cell r="DO91">
            <v>3.4691999999999998</v>
          </cell>
          <cell r="DP91">
            <v>3.6223999999999998</v>
          </cell>
          <cell r="DQ91">
            <v>3.7755999999999998</v>
          </cell>
          <cell r="DR91">
            <v>3.9287999999999998</v>
          </cell>
          <cell r="DS91">
            <v>4.0819999999999999</v>
          </cell>
          <cell r="DT91">
            <v>4.2351999999999999</v>
          </cell>
          <cell r="DU91">
            <v>4.3883999999999999</v>
          </cell>
          <cell r="DV91">
            <v>4.5415999999999999</v>
          </cell>
          <cell r="DW91">
            <v>4.6947999999999999</v>
          </cell>
          <cell r="DX91">
            <v>4.8479999999999999</v>
          </cell>
          <cell r="DY91">
            <v>5.0011999999999999</v>
          </cell>
          <cell r="DZ91">
            <v>5.1543999999999999</v>
          </cell>
          <cell r="EA91">
            <v>5.3075999999999999</v>
          </cell>
          <cell r="EB91">
            <v>5.4607999999999999</v>
          </cell>
          <cell r="EC91">
            <v>5.6139999999999999</v>
          </cell>
          <cell r="ED91">
            <v>5.7671999999999999</v>
          </cell>
          <cell r="EE91">
            <v>5.9203999999999999</v>
          </cell>
          <cell r="EF91">
            <v>6.0735999999999999</v>
          </cell>
          <cell r="EG91">
            <v>6.2267999999999999</v>
          </cell>
          <cell r="EH91">
            <v>6.38</v>
          </cell>
          <cell r="EI91">
            <v>5.8715555555555552</v>
          </cell>
          <cell r="EJ91">
            <v>5.3631111111111105</v>
          </cell>
          <cell r="EK91">
            <v>4.8546666666666658</v>
          </cell>
          <cell r="EL91">
            <v>4.3462222222222211</v>
          </cell>
          <cell r="EM91">
            <v>3.8377777777777764</v>
          </cell>
          <cell r="EN91">
            <v>3.3293333333333317</v>
          </cell>
          <cell r="EO91">
            <v>2.820888888888887</v>
          </cell>
          <cell r="EP91">
            <v>2.3124444444444423</v>
          </cell>
          <cell r="EQ91">
            <v>1.8039999999999978</v>
          </cell>
          <cell r="ER91">
            <v>1.2955555555555534</v>
          </cell>
          <cell r="ES91">
            <v>0.78711111111110887</v>
          </cell>
          <cell r="ET91">
            <v>0.2786666666666644</v>
          </cell>
          <cell r="EU91">
            <v>-0.22977777777778008</v>
          </cell>
          <cell r="EV91">
            <v>-0.73822222222222456</v>
          </cell>
          <cell r="EW91">
            <v>-1.246666666666669</v>
          </cell>
          <cell r="EX91">
            <v>-1.7551111111111135</v>
          </cell>
          <cell r="EY91">
            <v>-2.2635555555555582</v>
          </cell>
          <cell r="EZ91">
            <v>-2.7720000000000029</v>
          </cell>
          <cell r="FA91">
            <v>-3.2804444444444476</v>
          </cell>
          <cell r="FB91">
            <v>-3.7888888888888923</v>
          </cell>
          <cell r="FC91">
            <v>-4.297333333333337</v>
          </cell>
          <cell r="FD91">
            <v>-4.8057777777777817</v>
          </cell>
          <cell r="FE91">
            <v>-5.3142222222222264</v>
          </cell>
          <cell r="FF91">
            <v>-5.8226666666666711</v>
          </cell>
          <cell r="FG91">
            <v>-6.3311111111111158</v>
          </cell>
          <cell r="FH91">
            <v>-6.8395555555555605</v>
          </cell>
          <cell r="FI91">
            <v>-7.3480000000000052</v>
          </cell>
          <cell r="FJ91">
            <v>-7.8564444444444499</v>
          </cell>
          <cell r="FK91">
            <v>-8.3648888888888937</v>
          </cell>
          <cell r="FL91">
            <v>-8.8733333333333384</v>
          </cell>
          <cell r="FM91">
            <v>-9.3817777777777831</v>
          </cell>
          <cell r="FN91">
            <v>-9.8902222222222278</v>
          </cell>
          <cell r="FO91">
            <v>-10.398666666666672</v>
          </cell>
          <cell r="FP91">
            <v>-10.907111111111117</v>
          </cell>
          <cell r="FQ91">
            <v>-11.415555555555562</v>
          </cell>
          <cell r="FR91">
            <v>-11.924000000000007</v>
          </cell>
          <cell r="FS91">
            <v>-12.432444444444451</v>
          </cell>
          <cell r="FT91">
            <v>-12.940888888888896</v>
          </cell>
          <cell r="FU91">
            <v>-13.449333333333341</v>
          </cell>
          <cell r="FV91">
            <v>-13.957777777777785</v>
          </cell>
          <cell r="FW91">
            <v>-14.46622222222223</v>
          </cell>
          <cell r="FX91">
            <v>-14.974666666666675</v>
          </cell>
          <cell r="FY91">
            <v>-15.483111111111119</v>
          </cell>
          <cell r="FZ91">
            <v>-15.991555555555564</v>
          </cell>
          <cell r="GA91">
            <v>-16.5</v>
          </cell>
        </row>
        <row r="92">
          <cell r="B92" t="str">
            <v>k5</v>
          </cell>
          <cell r="C92">
            <v>-0.374</v>
          </cell>
          <cell r="D92">
            <v>-0.44435555555555556</v>
          </cell>
          <cell r="E92">
            <v>-0.51471111111111112</v>
          </cell>
          <cell r="F92">
            <v>-0.58506666666666662</v>
          </cell>
          <cell r="G92">
            <v>-0.65542222222222213</v>
          </cell>
          <cell r="H92">
            <v>-0.72577777777777763</v>
          </cell>
          <cell r="I92">
            <v>-0.79613333333333314</v>
          </cell>
          <cell r="J92">
            <v>-0.86648888888888864</v>
          </cell>
          <cell r="K92">
            <v>-0.93684444444444415</v>
          </cell>
          <cell r="L92">
            <v>-1.0071999999999997</v>
          </cell>
          <cell r="M92">
            <v>-1.0775555555555552</v>
          </cell>
          <cell r="N92">
            <v>-1.1479111111111107</v>
          </cell>
          <cell r="O92">
            <v>-1.2182666666666662</v>
          </cell>
          <cell r="P92">
            <v>-1.2886222222222217</v>
          </cell>
          <cell r="Q92">
            <v>-1.3589777777777772</v>
          </cell>
          <cell r="R92">
            <v>-1.4293333333333327</v>
          </cell>
          <cell r="S92">
            <v>-1.4996888888888882</v>
          </cell>
          <cell r="T92">
            <v>-1.5700444444444437</v>
          </cell>
          <cell r="U92">
            <v>-1.6403999999999992</v>
          </cell>
          <cell r="V92">
            <v>-1.7107555555555547</v>
          </cell>
          <cell r="W92">
            <v>-1.7811111111111102</v>
          </cell>
          <cell r="X92">
            <v>-1.8514666666666657</v>
          </cell>
          <cell r="Y92">
            <v>-1.9218222222222212</v>
          </cell>
          <cell r="Z92">
            <v>-1.9921777777777767</v>
          </cell>
          <cell r="AA92">
            <v>-2.0625333333333322</v>
          </cell>
          <cell r="AB92">
            <v>-2.1328888888888877</v>
          </cell>
          <cell r="AC92">
            <v>-2.2032444444444432</v>
          </cell>
          <cell r="AD92">
            <v>-2.2735999999999987</v>
          </cell>
          <cell r="AE92">
            <v>-2.3439555555555542</v>
          </cell>
          <cell r="AF92">
            <v>-2.4143111111111097</v>
          </cell>
          <cell r="AG92">
            <v>-2.4846666666666652</v>
          </cell>
          <cell r="AH92">
            <v>-2.5550222222222208</v>
          </cell>
          <cell r="AI92">
            <v>-2.6253777777777763</v>
          </cell>
          <cell r="AJ92">
            <v>-2.6957333333333318</v>
          </cell>
          <cell r="AK92">
            <v>-2.7660888888888873</v>
          </cell>
          <cell r="AL92">
            <v>-2.8364444444444428</v>
          </cell>
          <cell r="AM92">
            <v>-2.9067999999999983</v>
          </cell>
          <cell r="AN92">
            <v>-2.9771555555555538</v>
          </cell>
          <cell r="AO92">
            <v>-3.0475111111111093</v>
          </cell>
          <cell r="AP92">
            <v>-3.1178666666666648</v>
          </cell>
          <cell r="AQ92">
            <v>-3.1882222222222203</v>
          </cell>
          <cell r="AR92">
            <v>-3.2585777777777758</v>
          </cell>
          <cell r="AS92">
            <v>-3.3289333333333313</v>
          </cell>
          <cell r="AT92">
            <v>-3.3992888888888868</v>
          </cell>
          <cell r="AU92">
            <v>-3.4696444444444423</v>
          </cell>
          <cell r="AV92">
            <v>-3.54</v>
          </cell>
          <cell r="AW92">
            <v>-3.4193333333333333</v>
          </cell>
          <cell r="AX92">
            <v>-3.2986666666666666</v>
          </cell>
          <cell r="AY92">
            <v>-3.1779999999999999</v>
          </cell>
          <cell r="AZ92">
            <v>-3.0573333333333332</v>
          </cell>
          <cell r="BA92">
            <v>-2.9366666666666665</v>
          </cell>
          <cell r="BB92">
            <v>-2.8159999999999998</v>
          </cell>
          <cell r="BC92">
            <v>-2.6953333333333331</v>
          </cell>
          <cell r="BD92">
            <v>-2.5746666666666664</v>
          </cell>
          <cell r="BE92">
            <v>-2.4539999999999997</v>
          </cell>
          <cell r="BF92">
            <v>-2.333333333333333</v>
          </cell>
          <cell r="BG92">
            <v>-2.2126666666666663</v>
          </cell>
          <cell r="BH92">
            <v>-2.0919999999999996</v>
          </cell>
          <cell r="BI92">
            <v>-1.9713333333333329</v>
          </cell>
          <cell r="BJ92">
            <v>-1.8506666666666662</v>
          </cell>
          <cell r="BK92">
            <v>-1.7299999999999995</v>
          </cell>
          <cell r="BL92">
            <v>-1.6093333333333328</v>
          </cell>
          <cell r="BM92">
            <v>-1.4886666666666661</v>
          </cell>
          <cell r="BN92">
            <v>-1.3679999999999994</v>
          </cell>
          <cell r="BO92">
            <v>-1.2473333333333327</v>
          </cell>
          <cell r="BP92">
            <v>-1.126666666666666</v>
          </cell>
          <cell r="BQ92">
            <v>-1.0059999999999993</v>
          </cell>
          <cell r="BR92">
            <v>-0.88533333333333264</v>
          </cell>
          <cell r="BS92">
            <v>-0.76466666666666594</v>
          </cell>
          <cell r="BT92">
            <v>-0.64399999999999924</v>
          </cell>
          <cell r="BU92">
            <v>-0.52333333333333254</v>
          </cell>
          <cell r="BV92">
            <v>-0.4026666666666659</v>
          </cell>
          <cell r="BW92">
            <v>-0.28199999999999925</v>
          </cell>
          <cell r="BX92">
            <v>-0.16133333333333261</v>
          </cell>
          <cell r="BY92">
            <v>-4.0666666666665949E-2</v>
          </cell>
          <cell r="BZ92">
            <v>8.0000000000000709E-2</v>
          </cell>
          <cell r="CA92">
            <v>0.20066666666666738</v>
          </cell>
          <cell r="CB92">
            <v>0.32133333333333403</v>
          </cell>
          <cell r="CC92">
            <v>0.44200000000000067</v>
          </cell>
          <cell r="CD92">
            <v>0.56266666666666731</v>
          </cell>
          <cell r="CE92">
            <v>0.68333333333333401</v>
          </cell>
          <cell r="CF92">
            <v>0.80400000000000071</v>
          </cell>
          <cell r="CG92">
            <v>0.92466666666666741</v>
          </cell>
          <cell r="CH92">
            <v>1.0453333333333341</v>
          </cell>
          <cell r="CI92">
            <v>1.1660000000000008</v>
          </cell>
          <cell r="CJ92">
            <v>1.2866666666666675</v>
          </cell>
          <cell r="CK92">
            <v>1.4073333333333342</v>
          </cell>
          <cell r="CL92">
            <v>1.5280000000000009</v>
          </cell>
          <cell r="CM92">
            <v>1.6486666666666676</v>
          </cell>
          <cell r="CN92">
            <v>1.7693333333333343</v>
          </cell>
          <cell r="CO92">
            <v>1.89</v>
          </cell>
          <cell r="CP92">
            <v>1.7473333333333332</v>
          </cell>
          <cell r="CQ92">
            <v>1.6046666666666665</v>
          </cell>
          <cell r="CR92">
            <v>1.4619999999999997</v>
          </cell>
          <cell r="CS92">
            <v>1.319333333333333</v>
          </cell>
          <cell r="CT92">
            <v>1.1766666666666663</v>
          </cell>
          <cell r="CU92">
            <v>1.0339999999999996</v>
          </cell>
          <cell r="CV92">
            <v>0.89133333333333287</v>
          </cell>
          <cell r="CW92">
            <v>0.74866666666666615</v>
          </cell>
          <cell r="CX92">
            <v>0.60599999999999943</v>
          </cell>
          <cell r="CY92">
            <v>0.46333333333333276</v>
          </cell>
          <cell r="CZ92">
            <v>0.3206666666666661</v>
          </cell>
          <cell r="DA92">
            <v>0.17799999999999944</v>
          </cell>
          <cell r="DB92">
            <v>3.5333333333332773E-2</v>
          </cell>
          <cell r="DC92">
            <v>-0.10733333333333389</v>
          </cell>
          <cell r="DD92">
            <v>-0.25000000000000056</v>
          </cell>
          <cell r="DE92">
            <v>-0.39266666666666722</v>
          </cell>
          <cell r="DF92">
            <v>-0.53533333333333388</v>
          </cell>
          <cell r="DG92">
            <v>-0.6780000000000006</v>
          </cell>
          <cell r="DH92">
            <v>-0.82066666666666732</v>
          </cell>
          <cell r="DI92">
            <v>-0.96333333333333404</v>
          </cell>
          <cell r="DJ92">
            <v>-1.1060000000000008</v>
          </cell>
          <cell r="DK92">
            <v>-1.2486666666666675</v>
          </cell>
          <cell r="DL92">
            <v>-1.3913333333333342</v>
          </cell>
          <cell r="DM92">
            <v>-1.5340000000000009</v>
          </cell>
          <cell r="DN92">
            <v>-1.6766666666666676</v>
          </cell>
          <cell r="DO92">
            <v>-1.8193333333333344</v>
          </cell>
          <cell r="DP92">
            <v>-1.9620000000000011</v>
          </cell>
          <cell r="DQ92">
            <v>-2.1046666666666676</v>
          </cell>
          <cell r="DR92">
            <v>-2.2473333333333341</v>
          </cell>
          <cell r="DS92">
            <v>-2.3900000000000006</v>
          </cell>
          <cell r="DT92">
            <v>-2.5326666666666671</v>
          </cell>
          <cell r="DU92">
            <v>-2.6753333333333336</v>
          </cell>
          <cell r="DV92">
            <v>-2.8180000000000001</v>
          </cell>
          <cell r="DW92">
            <v>-2.9606666666666666</v>
          </cell>
          <cell r="DX92">
            <v>-3.1033333333333331</v>
          </cell>
          <cell r="DY92">
            <v>-3.2459999999999996</v>
          </cell>
          <cell r="DZ92">
            <v>-3.388666666666666</v>
          </cell>
          <cell r="EA92">
            <v>-3.5313333333333325</v>
          </cell>
          <cell r="EB92">
            <v>-3.673999999999999</v>
          </cell>
          <cell r="EC92">
            <v>-3.8166666666666655</v>
          </cell>
          <cell r="ED92">
            <v>-3.959333333333332</v>
          </cell>
          <cell r="EE92">
            <v>-4.1019999999999985</v>
          </cell>
          <cell r="EF92">
            <v>-4.2446666666666655</v>
          </cell>
          <cell r="EG92">
            <v>-4.3873333333333324</v>
          </cell>
          <cell r="EH92">
            <v>-4.53</v>
          </cell>
          <cell r="EI92">
            <v>-3.8226666666666667</v>
          </cell>
          <cell r="EJ92">
            <v>-3.1153333333333331</v>
          </cell>
          <cell r="EK92">
            <v>-2.4079999999999995</v>
          </cell>
          <cell r="EL92">
            <v>-1.7006666666666661</v>
          </cell>
          <cell r="EM92">
            <v>-0.99333333333333274</v>
          </cell>
          <cell r="EN92">
            <v>-0.28599999999999937</v>
          </cell>
          <cell r="EO92">
            <v>0.421333333333334</v>
          </cell>
          <cell r="EP92">
            <v>1.1286666666666674</v>
          </cell>
          <cell r="EQ92">
            <v>1.8360000000000007</v>
          </cell>
          <cell r="ER92">
            <v>2.5433333333333339</v>
          </cell>
          <cell r="ES92">
            <v>3.2506666666666675</v>
          </cell>
          <cell r="ET92">
            <v>3.9580000000000011</v>
          </cell>
          <cell r="EU92">
            <v>4.6653333333333347</v>
          </cell>
          <cell r="EV92">
            <v>5.3726666666666683</v>
          </cell>
          <cell r="EW92">
            <v>6.0800000000000018</v>
          </cell>
          <cell r="EX92">
            <v>6.7873333333333354</v>
          </cell>
          <cell r="EY92">
            <v>7.494666666666669</v>
          </cell>
          <cell r="EZ92">
            <v>8.2020000000000017</v>
          </cell>
          <cell r="FA92">
            <v>8.9093333333333344</v>
          </cell>
          <cell r="FB92">
            <v>9.6166666666666671</v>
          </cell>
          <cell r="FC92">
            <v>10.324</v>
          </cell>
          <cell r="FD92">
            <v>11.031333333333333</v>
          </cell>
          <cell r="FE92">
            <v>11.738666666666665</v>
          </cell>
          <cell r="FF92">
            <v>12.445999999999998</v>
          </cell>
          <cell r="FG92">
            <v>13.153333333333331</v>
          </cell>
          <cell r="FH92">
            <v>13.860666666666663</v>
          </cell>
          <cell r="FI92">
            <v>14.567999999999996</v>
          </cell>
          <cell r="FJ92">
            <v>15.275333333333329</v>
          </cell>
          <cell r="FK92">
            <v>15.982666666666661</v>
          </cell>
          <cell r="FL92">
            <v>16.689999999999994</v>
          </cell>
          <cell r="FM92">
            <v>17.397333333333329</v>
          </cell>
          <cell r="FN92">
            <v>18.104666666666663</v>
          </cell>
          <cell r="FO92">
            <v>18.811999999999998</v>
          </cell>
          <cell r="FP92">
            <v>19.519333333333332</v>
          </cell>
          <cell r="FQ92">
            <v>20.226666666666667</v>
          </cell>
          <cell r="FR92">
            <v>20.934000000000001</v>
          </cell>
          <cell r="FS92">
            <v>21.641333333333336</v>
          </cell>
          <cell r="FT92">
            <v>22.34866666666667</v>
          </cell>
          <cell r="FU92">
            <v>23.056000000000004</v>
          </cell>
          <cell r="FV92">
            <v>23.763333333333339</v>
          </cell>
          <cell r="FW92">
            <v>24.470666666666673</v>
          </cell>
          <cell r="FX92">
            <v>25.178000000000008</v>
          </cell>
          <cell r="FY92">
            <v>25.885333333333342</v>
          </cell>
          <cell r="FZ92">
            <v>26.592666666666677</v>
          </cell>
          <cell r="GA92">
            <v>27.3</v>
          </cell>
        </row>
        <row r="93">
          <cell r="B93" t="str">
            <v>k6</v>
          </cell>
          <cell r="C93">
            <v>-7.4</v>
          </cell>
          <cell r="D93">
            <v>-7.3306666666666667</v>
          </cell>
          <cell r="E93">
            <v>-7.261333333333333</v>
          </cell>
          <cell r="F93">
            <v>-7.1919999999999993</v>
          </cell>
          <cell r="G93">
            <v>-7.1226666666666656</v>
          </cell>
          <cell r="H93">
            <v>-7.0533333333333319</v>
          </cell>
          <cell r="I93">
            <v>-6.9839999999999982</v>
          </cell>
          <cell r="J93">
            <v>-6.9146666666666645</v>
          </cell>
          <cell r="K93">
            <v>-6.8453333333333308</v>
          </cell>
          <cell r="L93">
            <v>-6.7759999999999971</v>
          </cell>
          <cell r="M93">
            <v>-6.7066666666666634</v>
          </cell>
          <cell r="N93">
            <v>-6.6373333333333298</v>
          </cell>
          <cell r="O93">
            <v>-6.5679999999999961</v>
          </cell>
          <cell r="P93">
            <v>-6.4986666666666624</v>
          </cell>
          <cell r="Q93">
            <v>-6.4293333333333287</v>
          </cell>
          <cell r="R93">
            <v>-6.359999999999995</v>
          </cell>
          <cell r="S93">
            <v>-6.2906666666666613</v>
          </cell>
          <cell r="T93">
            <v>-6.2213333333333276</v>
          </cell>
          <cell r="U93">
            <v>-6.1519999999999939</v>
          </cell>
          <cell r="V93">
            <v>-6.0826666666666602</v>
          </cell>
          <cell r="W93">
            <v>-6.0133333333333265</v>
          </cell>
          <cell r="X93">
            <v>-5.9439999999999928</v>
          </cell>
          <cell r="Y93">
            <v>-5.8746666666666592</v>
          </cell>
          <cell r="Z93">
            <v>-5.8053333333333255</v>
          </cell>
          <cell r="AA93">
            <v>-5.7359999999999918</v>
          </cell>
          <cell r="AB93">
            <v>-5.6666666666666581</v>
          </cell>
          <cell r="AC93">
            <v>-5.5973333333333244</v>
          </cell>
          <cell r="AD93">
            <v>-5.5279999999999907</v>
          </cell>
          <cell r="AE93">
            <v>-5.458666666666657</v>
          </cell>
          <cell r="AF93">
            <v>-5.3893333333333233</v>
          </cell>
          <cell r="AG93">
            <v>-5.3199999999999896</v>
          </cell>
          <cell r="AH93">
            <v>-5.2506666666666559</v>
          </cell>
          <cell r="AI93">
            <v>-5.1813333333333222</v>
          </cell>
          <cell r="AJ93">
            <v>-5.1119999999999886</v>
          </cell>
          <cell r="AK93">
            <v>-5.0426666666666549</v>
          </cell>
          <cell r="AL93">
            <v>-4.9733333333333212</v>
          </cell>
          <cell r="AM93">
            <v>-4.9039999999999875</v>
          </cell>
          <cell r="AN93">
            <v>-4.8346666666666538</v>
          </cell>
          <cell r="AO93">
            <v>-4.7653333333333201</v>
          </cell>
          <cell r="AP93">
            <v>-4.6959999999999864</v>
          </cell>
          <cell r="AQ93">
            <v>-4.6266666666666527</v>
          </cell>
          <cell r="AR93">
            <v>-4.557333333333319</v>
          </cell>
          <cell r="AS93">
            <v>-4.4879999999999853</v>
          </cell>
          <cell r="AT93">
            <v>-4.4186666666666516</v>
          </cell>
          <cell r="AU93">
            <v>-4.349333333333318</v>
          </cell>
          <cell r="AV93">
            <v>-4.28</v>
          </cell>
          <cell r="AW93">
            <v>-4.2213333333333338</v>
          </cell>
          <cell r="AX93">
            <v>-4.1626666666666674</v>
          </cell>
          <cell r="AY93">
            <v>-4.104000000000001</v>
          </cell>
          <cell r="AZ93">
            <v>-4.0453333333333346</v>
          </cell>
          <cell r="BA93">
            <v>-3.9866666666666677</v>
          </cell>
          <cell r="BB93">
            <v>-3.9280000000000008</v>
          </cell>
          <cell r="BC93">
            <v>-3.869333333333334</v>
          </cell>
          <cell r="BD93">
            <v>-3.8106666666666671</v>
          </cell>
          <cell r="BE93">
            <v>-3.7520000000000002</v>
          </cell>
          <cell r="BF93">
            <v>-3.6933333333333334</v>
          </cell>
          <cell r="BG93">
            <v>-3.6346666666666665</v>
          </cell>
          <cell r="BH93">
            <v>-3.5759999999999996</v>
          </cell>
          <cell r="BI93">
            <v>-3.5173333333333328</v>
          </cell>
          <cell r="BJ93">
            <v>-3.4586666666666659</v>
          </cell>
          <cell r="BK93">
            <v>-3.399999999999999</v>
          </cell>
          <cell r="BL93">
            <v>-3.3413333333333322</v>
          </cell>
          <cell r="BM93">
            <v>-3.2826666666666653</v>
          </cell>
          <cell r="BN93">
            <v>-3.2239999999999984</v>
          </cell>
          <cell r="BO93">
            <v>-3.1653333333333316</v>
          </cell>
          <cell r="BP93">
            <v>-3.1066666666666647</v>
          </cell>
          <cell r="BQ93">
            <v>-3.0479999999999978</v>
          </cell>
          <cell r="BR93">
            <v>-2.989333333333331</v>
          </cell>
          <cell r="BS93">
            <v>-2.9306666666666641</v>
          </cell>
          <cell r="BT93">
            <v>-2.8719999999999972</v>
          </cell>
          <cell r="BU93">
            <v>-2.8133333333333304</v>
          </cell>
          <cell r="BV93">
            <v>-2.7546666666666635</v>
          </cell>
          <cell r="BW93">
            <v>-2.6959999999999966</v>
          </cell>
          <cell r="BX93">
            <v>-2.6373333333333298</v>
          </cell>
          <cell r="BY93">
            <v>-2.5786666666666629</v>
          </cell>
          <cell r="BZ93">
            <v>-2.519999999999996</v>
          </cell>
          <cell r="CA93">
            <v>-2.4613333333333292</v>
          </cell>
          <cell r="CB93">
            <v>-2.4026666666666623</v>
          </cell>
          <cell r="CC93">
            <v>-2.3439999999999954</v>
          </cell>
          <cell r="CD93">
            <v>-2.2853333333333286</v>
          </cell>
          <cell r="CE93">
            <v>-2.2266666666666617</v>
          </cell>
          <cell r="CF93">
            <v>-2.1679999999999948</v>
          </cell>
          <cell r="CG93">
            <v>-2.109333333333328</v>
          </cell>
          <cell r="CH93">
            <v>-2.0506666666666611</v>
          </cell>
          <cell r="CI93">
            <v>-1.9919999999999944</v>
          </cell>
          <cell r="CJ93">
            <v>-1.9333333333333278</v>
          </cell>
          <cell r="CK93">
            <v>-1.8746666666666612</v>
          </cell>
          <cell r="CL93">
            <v>-1.8159999999999945</v>
          </cell>
          <cell r="CM93">
            <v>-1.7573333333333279</v>
          </cell>
          <cell r="CN93">
            <v>-1.6986666666666612</v>
          </cell>
          <cell r="CO93">
            <v>-1.64</v>
          </cell>
          <cell r="CP93">
            <v>-1.6125555555555555</v>
          </cell>
          <cell r="CQ93">
            <v>-1.5851111111111111</v>
          </cell>
          <cell r="CR93">
            <v>-1.5576666666666668</v>
          </cell>
          <cell r="CS93">
            <v>-1.5302222222222224</v>
          </cell>
          <cell r="CT93">
            <v>-1.502777777777778</v>
          </cell>
          <cell r="CU93">
            <v>-1.4753333333333336</v>
          </cell>
          <cell r="CV93">
            <v>-1.4478888888888892</v>
          </cell>
          <cell r="CW93">
            <v>-1.4204444444444448</v>
          </cell>
          <cell r="CX93">
            <v>-1.3930000000000005</v>
          </cell>
          <cell r="CY93">
            <v>-1.3655555555555561</v>
          </cell>
          <cell r="CZ93">
            <v>-1.3381111111111117</v>
          </cell>
          <cell r="DA93">
            <v>-1.3106666666666673</v>
          </cell>
          <cell r="DB93">
            <v>-1.2832222222222229</v>
          </cell>
          <cell r="DC93">
            <v>-1.2557777777777785</v>
          </cell>
          <cell r="DD93">
            <v>-1.2283333333333342</v>
          </cell>
          <cell r="DE93">
            <v>-1.2008888888888898</v>
          </cell>
          <cell r="DF93">
            <v>-1.1734444444444454</v>
          </cell>
          <cell r="DG93">
            <v>-1.146000000000001</v>
          </cell>
          <cell r="DH93">
            <v>-1.1185555555555566</v>
          </cell>
          <cell r="DI93">
            <v>-1.0911111111111123</v>
          </cell>
          <cell r="DJ93">
            <v>-1.0636666666666679</v>
          </cell>
          <cell r="DK93">
            <v>-1.0362222222222235</v>
          </cell>
          <cell r="DL93">
            <v>-1.0087777777777791</v>
          </cell>
          <cell r="DM93">
            <v>-0.98133333333333461</v>
          </cell>
          <cell r="DN93">
            <v>-0.95388888888889012</v>
          </cell>
          <cell r="DO93">
            <v>-0.92644444444444563</v>
          </cell>
          <cell r="DP93">
            <v>-0.89900000000000113</v>
          </cell>
          <cell r="DQ93">
            <v>-0.87155555555555664</v>
          </cell>
          <cell r="DR93">
            <v>-0.84411111111111214</v>
          </cell>
          <cell r="DS93">
            <v>-0.81666666666666765</v>
          </cell>
          <cell r="DT93">
            <v>-0.78922222222222316</v>
          </cell>
          <cell r="DU93">
            <v>-0.76177777777777866</v>
          </cell>
          <cell r="DV93">
            <v>-0.73433333333333417</v>
          </cell>
          <cell r="DW93">
            <v>-0.70688888888888968</v>
          </cell>
          <cell r="DX93">
            <v>-0.67944444444444518</v>
          </cell>
          <cell r="DY93">
            <v>-0.65200000000000069</v>
          </cell>
          <cell r="DZ93">
            <v>-0.6245555555555562</v>
          </cell>
          <cell r="EA93">
            <v>-0.5971111111111117</v>
          </cell>
          <cell r="EB93">
            <v>-0.56966666666666721</v>
          </cell>
          <cell r="EC93">
            <v>-0.54222222222222272</v>
          </cell>
          <cell r="ED93">
            <v>-0.51477777777777822</v>
          </cell>
          <cell r="EE93">
            <v>-0.48733333333333378</v>
          </cell>
          <cell r="EF93">
            <v>-0.45988888888888935</v>
          </cell>
          <cell r="EG93">
            <v>-0.43244444444444491</v>
          </cell>
          <cell r="EH93">
            <v>-0.40500000000000003</v>
          </cell>
          <cell r="EI93">
            <v>-0.6604444444444445</v>
          </cell>
          <cell r="EJ93">
            <v>-0.91588888888888897</v>
          </cell>
          <cell r="EK93">
            <v>-1.1713333333333336</v>
          </cell>
          <cell r="EL93">
            <v>-1.4267777777777781</v>
          </cell>
          <cell r="EM93">
            <v>-1.6822222222222227</v>
          </cell>
          <cell r="EN93">
            <v>-1.9376666666666673</v>
          </cell>
          <cell r="EO93">
            <v>-2.1931111111111119</v>
          </cell>
          <cell r="EP93">
            <v>-2.4485555555555565</v>
          </cell>
          <cell r="EQ93">
            <v>-2.7040000000000011</v>
          </cell>
          <cell r="ER93">
            <v>-2.9594444444444457</v>
          </cell>
          <cell r="ES93">
            <v>-3.2148888888888902</v>
          </cell>
          <cell r="ET93">
            <v>-3.4703333333333348</v>
          </cell>
          <cell r="EU93">
            <v>-3.7257777777777794</v>
          </cell>
          <cell r="EV93">
            <v>-3.981222222222224</v>
          </cell>
          <cell r="EW93">
            <v>-4.2366666666666681</v>
          </cell>
          <cell r="EX93">
            <v>-4.4921111111111127</v>
          </cell>
          <cell r="EY93">
            <v>-4.7475555555555573</v>
          </cell>
          <cell r="EZ93">
            <v>-5.0030000000000019</v>
          </cell>
          <cell r="FA93">
            <v>-5.2584444444444465</v>
          </cell>
          <cell r="FB93">
            <v>-5.5138888888888911</v>
          </cell>
          <cell r="FC93">
            <v>-5.7693333333333356</v>
          </cell>
          <cell r="FD93">
            <v>-6.0247777777777802</v>
          </cell>
          <cell r="FE93">
            <v>-6.2802222222222248</v>
          </cell>
          <cell r="FF93">
            <v>-6.5356666666666694</v>
          </cell>
          <cell r="FG93">
            <v>-6.791111111111114</v>
          </cell>
          <cell r="FH93">
            <v>-7.0465555555555586</v>
          </cell>
          <cell r="FI93">
            <v>-7.3020000000000032</v>
          </cell>
          <cell r="FJ93">
            <v>-7.5574444444444477</v>
          </cell>
          <cell r="FK93">
            <v>-7.8128888888888923</v>
          </cell>
          <cell r="FL93">
            <v>-8.0683333333333369</v>
          </cell>
          <cell r="FM93">
            <v>-8.3237777777777815</v>
          </cell>
          <cell r="FN93">
            <v>-8.5792222222222261</v>
          </cell>
          <cell r="FO93">
            <v>-8.8346666666666707</v>
          </cell>
          <cell r="FP93">
            <v>-9.0901111111111152</v>
          </cell>
          <cell r="FQ93">
            <v>-9.3455555555555598</v>
          </cell>
          <cell r="FR93">
            <v>-9.6010000000000044</v>
          </cell>
          <cell r="FS93">
            <v>-9.856444444444449</v>
          </cell>
          <cell r="FT93">
            <v>-10.111888888888894</v>
          </cell>
          <cell r="FU93">
            <v>-10.367333333333338</v>
          </cell>
          <cell r="FV93">
            <v>-10.622777777777783</v>
          </cell>
          <cell r="FW93">
            <v>-10.878222222222227</v>
          </cell>
          <cell r="FX93">
            <v>-11.133666666666672</v>
          </cell>
          <cell r="FY93">
            <v>-11.389111111111117</v>
          </cell>
          <cell r="FZ93">
            <v>-11.644555555555561</v>
          </cell>
          <cell r="GA93">
            <v>-11.9</v>
          </cell>
        </row>
        <row r="94">
          <cell r="B94" t="str">
            <v>k7</v>
          </cell>
          <cell r="C94">
            <v>-2.71</v>
          </cell>
          <cell r="D94">
            <v>-2.7102222222222223</v>
          </cell>
          <cell r="E94">
            <v>-2.7104444444444447</v>
          </cell>
          <cell r="F94">
            <v>-2.710666666666667</v>
          </cell>
          <cell r="G94">
            <v>-2.7108888888888893</v>
          </cell>
          <cell r="H94">
            <v>-2.7111111111111117</v>
          </cell>
          <cell r="I94">
            <v>-2.711333333333334</v>
          </cell>
          <cell r="J94">
            <v>-2.7115555555555564</v>
          </cell>
          <cell r="K94">
            <v>-2.7117777777777787</v>
          </cell>
          <cell r="L94">
            <v>-2.7120000000000011</v>
          </cell>
          <cell r="M94">
            <v>-2.7122222222222234</v>
          </cell>
          <cell r="N94">
            <v>-2.7124444444444458</v>
          </cell>
          <cell r="O94">
            <v>-2.7126666666666681</v>
          </cell>
          <cell r="P94">
            <v>-2.7128888888888905</v>
          </cell>
          <cell r="Q94">
            <v>-2.7131111111111128</v>
          </cell>
          <cell r="R94">
            <v>-2.7133333333333352</v>
          </cell>
          <cell r="S94">
            <v>-2.7135555555555575</v>
          </cell>
          <cell r="T94">
            <v>-2.7137777777777798</v>
          </cell>
          <cell r="U94">
            <v>-2.7140000000000022</v>
          </cell>
          <cell r="V94">
            <v>-2.7142222222222245</v>
          </cell>
          <cell r="W94">
            <v>-2.7144444444444469</v>
          </cell>
          <cell r="X94">
            <v>-2.7146666666666692</v>
          </cell>
          <cell r="Y94">
            <v>-2.7148888888888916</v>
          </cell>
          <cell r="Z94">
            <v>-2.7151111111111139</v>
          </cell>
          <cell r="AA94">
            <v>-2.7153333333333363</v>
          </cell>
          <cell r="AB94">
            <v>-2.7155555555555586</v>
          </cell>
          <cell r="AC94">
            <v>-2.715777777777781</v>
          </cell>
          <cell r="AD94">
            <v>-2.7160000000000033</v>
          </cell>
          <cell r="AE94">
            <v>-2.7162222222222256</v>
          </cell>
          <cell r="AF94">
            <v>-2.716444444444448</v>
          </cell>
          <cell r="AG94">
            <v>-2.7166666666666703</v>
          </cell>
          <cell r="AH94">
            <v>-2.7168888888888927</v>
          </cell>
          <cell r="AI94">
            <v>-2.717111111111115</v>
          </cell>
          <cell r="AJ94">
            <v>-2.7173333333333374</v>
          </cell>
          <cell r="AK94">
            <v>-2.7175555555555597</v>
          </cell>
          <cell r="AL94">
            <v>-2.7177777777777821</v>
          </cell>
          <cell r="AM94">
            <v>-2.7180000000000044</v>
          </cell>
          <cell r="AN94">
            <v>-2.7182222222222268</v>
          </cell>
          <cell r="AO94">
            <v>-2.7184444444444491</v>
          </cell>
          <cell r="AP94">
            <v>-2.7186666666666714</v>
          </cell>
          <cell r="AQ94">
            <v>-2.7188888888888938</v>
          </cell>
          <cell r="AR94">
            <v>-2.7191111111111161</v>
          </cell>
          <cell r="AS94">
            <v>-2.7193333333333385</v>
          </cell>
          <cell r="AT94">
            <v>-2.7195555555555608</v>
          </cell>
          <cell r="AU94">
            <v>-2.7197777777777832</v>
          </cell>
          <cell r="AV94">
            <v>-2.72</v>
          </cell>
          <cell r="AW94">
            <v>-2.6716000000000002</v>
          </cell>
          <cell r="AX94">
            <v>-2.6232000000000002</v>
          </cell>
          <cell r="AY94">
            <v>-2.5748000000000002</v>
          </cell>
          <cell r="AZ94">
            <v>-2.5264000000000002</v>
          </cell>
          <cell r="BA94">
            <v>-2.4780000000000002</v>
          </cell>
          <cell r="BB94">
            <v>-2.4296000000000002</v>
          </cell>
          <cell r="BC94">
            <v>-2.3812000000000002</v>
          </cell>
          <cell r="BD94">
            <v>-2.3328000000000002</v>
          </cell>
          <cell r="BE94">
            <v>-2.2844000000000002</v>
          </cell>
          <cell r="BF94">
            <v>-2.2360000000000002</v>
          </cell>
          <cell r="BG94">
            <v>-2.1876000000000002</v>
          </cell>
          <cell r="BH94">
            <v>-2.1392000000000002</v>
          </cell>
          <cell r="BI94">
            <v>-2.0908000000000002</v>
          </cell>
          <cell r="BJ94">
            <v>-2.0424000000000002</v>
          </cell>
          <cell r="BK94">
            <v>-1.9940000000000002</v>
          </cell>
          <cell r="BL94">
            <v>-1.9456000000000002</v>
          </cell>
          <cell r="BM94">
            <v>-1.8972000000000002</v>
          </cell>
          <cell r="BN94">
            <v>-1.8488000000000002</v>
          </cell>
          <cell r="BO94">
            <v>-1.8004000000000002</v>
          </cell>
          <cell r="BP94">
            <v>-1.7520000000000002</v>
          </cell>
          <cell r="BQ94">
            <v>-1.7036000000000002</v>
          </cell>
          <cell r="BR94">
            <v>-1.6552000000000002</v>
          </cell>
          <cell r="BS94">
            <v>-1.6068000000000002</v>
          </cell>
          <cell r="BT94">
            <v>-1.5584000000000002</v>
          </cell>
          <cell r="BU94">
            <v>-1.5100000000000002</v>
          </cell>
          <cell r="BV94">
            <v>-1.4616000000000002</v>
          </cell>
          <cell r="BW94">
            <v>-1.4132000000000002</v>
          </cell>
          <cell r="BX94">
            <v>-1.3648000000000002</v>
          </cell>
          <cell r="BY94">
            <v>-1.3164000000000002</v>
          </cell>
          <cell r="BZ94">
            <v>-1.2680000000000002</v>
          </cell>
          <cell r="CA94">
            <v>-1.2196000000000002</v>
          </cell>
          <cell r="CB94">
            <v>-1.1712000000000002</v>
          </cell>
          <cell r="CC94">
            <v>-1.1228000000000002</v>
          </cell>
          <cell r="CD94">
            <v>-1.0744000000000002</v>
          </cell>
          <cell r="CE94">
            <v>-1.0260000000000002</v>
          </cell>
          <cell r="CF94">
            <v>-0.97760000000000025</v>
          </cell>
          <cell r="CG94">
            <v>-0.92920000000000025</v>
          </cell>
          <cell r="CH94">
            <v>-0.88080000000000025</v>
          </cell>
          <cell r="CI94">
            <v>-0.83240000000000025</v>
          </cell>
          <cell r="CJ94">
            <v>-0.78400000000000025</v>
          </cell>
          <cell r="CK94">
            <v>-0.73560000000000025</v>
          </cell>
          <cell r="CL94">
            <v>-0.68720000000000026</v>
          </cell>
          <cell r="CM94">
            <v>-0.63880000000000026</v>
          </cell>
          <cell r="CN94">
            <v>-0.59040000000000026</v>
          </cell>
          <cell r="CO94">
            <v>-0.54200000000000004</v>
          </cell>
          <cell r="CP94">
            <v>-0.6272888888888889</v>
          </cell>
          <cell r="CQ94">
            <v>-0.71257777777777775</v>
          </cell>
          <cell r="CR94">
            <v>-0.79786666666666661</v>
          </cell>
          <cell r="CS94">
            <v>-0.88315555555555547</v>
          </cell>
          <cell r="CT94">
            <v>-0.96844444444444433</v>
          </cell>
          <cell r="CU94">
            <v>-1.0537333333333332</v>
          </cell>
          <cell r="CV94">
            <v>-1.1390222222222222</v>
          </cell>
          <cell r="CW94">
            <v>-1.2243111111111111</v>
          </cell>
          <cell r="CX94">
            <v>-1.3096000000000001</v>
          </cell>
          <cell r="CY94">
            <v>-1.3948888888888891</v>
          </cell>
          <cell r="CZ94">
            <v>-1.480177777777778</v>
          </cell>
          <cell r="DA94">
            <v>-1.565466666666667</v>
          </cell>
          <cell r="DB94">
            <v>-1.650755555555556</v>
          </cell>
          <cell r="DC94">
            <v>-1.7360444444444449</v>
          </cell>
          <cell r="DD94">
            <v>-1.8213333333333339</v>
          </cell>
          <cell r="DE94">
            <v>-1.9066222222222229</v>
          </cell>
          <cell r="DF94">
            <v>-1.9919111111111119</v>
          </cell>
          <cell r="DG94">
            <v>-2.0772000000000008</v>
          </cell>
          <cell r="DH94">
            <v>-2.1624888888888898</v>
          </cell>
          <cell r="DI94">
            <v>-2.2477777777777788</v>
          </cell>
          <cell r="DJ94">
            <v>-2.3330666666666677</v>
          </cell>
          <cell r="DK94">
            <v>-2.4183555555555567</v>
          </cell>
          <cell r="DL94">
            <v>-2.5036444444444457</v>
          </cell>
          <cell r="DM94">
            <v>-2.5889333333333346</v>
          </cell>
          <cell r="DN94">
            <v>-2.6742222222222236</v>
          </cell>
          <cell r="DO94">
            <v>-2.7595111111111126</v>
          </cell>
          <cell r="DP94">
            <v>-2.8448000000000015</v>
          </cell>
          <cell r="DQ94">
            <v>-2.9300888888888905</v>
          </cell>
          <cell r="DR94">
            <v>-3.0153777777777795</v>
          </cell>
          <cell r="DS94">
            <v>-3.1006666666666685</v>
          </cell>
          <cell r="DT94">
            <v>-3.1859555555555574</v>
          </cell>
          <cell r="DU94">
            <v>-3.2712444444444464</v>
          </cell>
          <cell r="DV94">
            <v>-3.3565333333333354</v>
          </cell>
          <cell r="DW94">
            <v>-3.4418222222222243</v>
          </cell>
          <cell r="DX94">
            <v>-3.5271111111111133</v>
          </cell>
          <cell r="DY94">
            <v>-3.6124000000000023</v>
          </cell>
          <cell r="DZ94">
            <v>-3.6976888888888912</v>
          </cell>
          <cell r="EA94">
            <v>-3.7829777777777802</v>
          </cell>
          <cell r="EB94">
            <v>-3.8682666666666692</v>
          </cell>
          <cell r="EC94">
            <v>-3.9535555555555582</v>
          </cell>
          <cell r="ED94">
            <v>-4.0388444444444467</v>
          </cell>
          <cell r="EE94">
            <v>-4.1241333333333356</v>
          </cell>
          <cell r="EF94">
            <v>-4.2094222222222246</v>
          </cell>
          <cell r="EG94">
            <v>-4.2947111111111136</v>
          </cell>
          <cell r="EH94">
            <v>-4.38</v>
          </cell>
          <cell r="EI94">
            <v>-4.306222222222222</v>
          </cell>
          <cell r="EJ94">
            <v>-4.232444444444444</v>
          </cell>
          <cell r="EK94">
            <v>-4.1586666666666661</v>
          </cell>
          <cell r="EL94">
            <v>-4.0848888888888881</v>
          </cell>
          <cell r="EM94">
            <v>-4.0111111111111102</v>
          </cell>
          <cell r="EN94">
            <v>-3.9373333333333322</v>
          </cell>
          <cell r="EO94">
            <v>-3.8635555555555543</v>
          </cell>
          <cell r="EP94">
            <v>-3.7897777777777764</v>
          </cell>
          <cell r="EQ94">
            <v>-3.7159999999999984</v>
          </cell>
          <cell r="ER94">
            <v>-3.6422222222222205</v>
          </cell>
          <cell r="ES94">
            <v>-3.5684444444444425</v>
          </cell>
          <cell r="ET94">
            <v>-3.4946666666666646</v>
          </cell>
          <cell r="EU94">
            <v>-3.4208888888888866</v>
          </cell>
          <cell r="EV94">
            <v>-3.3471111111111087</v>
          </cell>
          <cell r="EW94">
            <v>-3.2733333333333308</v>
          </cell>
          <cell r="EX94">
            <v>-3.1995555555555528</v>
          </cell>
          <cell r="EY94">
            <v>-3.1257777777777749</v>
          </cell>
          <cell r="EZ94">
            <v>-3.0519999999999969</v>
          </cell>
          <cell r="FA94">
            <v>-2.978222222222219</v>
          </cell>
          <cell r="FB94">
            <v>-2.9044444444444411</v>
          </cell>
          <cell r="FC94">
            <v>-2.8306666666666631</v>
          </cell>
          <cell r="FD94">
            <v>-2.7568888888888852</v>
          </cell>
          <cell r="FE94">
            <v>-2.6831111111111072</v>
          </cell>
          <cell r="FF94">
            <v>-2.6093333333333293</v>
          </cell>
          <cell r="FG94">
            <v>-2.5355555555555513</v>
          </cell>
          <cell r="FH94">
            <v>-2.4617777777777734</v>
          </cell>
          <cell r="FI94">
            <v>-2.3879999999999955</v>
          </cell>
          <cell r="FJ94">
            <v>-2.3142222222222175</v>
          </cell>
          <cell r="FK94">
            <v>-2.2404444444444396</v>
          </cell>
          <cell r="FL94">
            <v>-2.1666666666666616</v>
          </cell>
          <cell r="FM94">
            <v>-2.0928888888888837</v>
          </cell>
          <cell r="FN94">
            <v>-2.0191111111111057</v>
          </cell>
          <cell r="FO94">
            <v>-1.945333333333328</v>
          </cell>
          <cell r="FP94">
            <v>-1.8715555555555503</v>
          </cell>
          <cell r="FQ94">
            <v>-1.7977777777777726</v>
          </cell>
          <cell r="FR94">
            <v>-1.7239999999999949</v>
          </cell>
          <cell r="FS94">
            <v>-1.6502222222222171</v>
          </cell>
          <cell r="FT94">
            <v>-1.5764444444444394</v>
          </cell>
          <cell r="FU94">
            <v>-1.5026666666666617</v>
          </cell>
          <cell r="FV94">
            <v>-1.428888888888884</v>
          </cell>
          <cell r="FW94">
            <v>-1.3551111111111063</v>
          </cell>
          <cell r="FX94">
            <v>-1.2813333333333286</v>
          </cell>
          <cell r="FY94">
            <v>-1.2075555555555508</v>
          </cell>
          <cell r="FZ94">
            <v>-1.1337777777777731</v>
          </cell>
          <cell r="GA94">
            <v>-1.06</v>
          </cell>
        </row>
        <row r="95">
          <cell r="B95" t="str">
            <v>k8</v>
          </cell>
          <cell r="C95">
            <v>-0.99099999999999999</v>
          </cell>
          <cell r="D95">
            <v>-0.97453333333333336</v>
          </cell>
          <cell r="E95">
            <v>-0.95806666666666673</v>
          </cell>
          <cell r="F95">
            <v>-0.9416000000000001</v>
          </cell>
          <cell r="G95">
            <v>-0.92513333333333347</v>
          </cell>
          <cell r="H95">
            <v>-0.90866666666666684</v>
          </cell>
          <cell r="I95">
            <v>-0.89220000000000022</v>
          </cell>
          <cell r="J95">
            <v>-0.87573333333333359</v>
          </cell>
          <cell r="K95">
            <v>-0.85926666666666696</v>
          </cell>
          <cell r="L95">
            <v>-0.84280000000000033</v>
          </cell>
          <cell r="M95">
            <v>-0.8263333333333337</v>
          </cell>
          <cell r="N95">
            <v>-0.80986666666666707</v>
          </cell>
          <cell r="O95">
            <v>-0.79340000000000044</v>
          </cell>
          <cell r="P95">
            <v>-0.77693333333333381</v>
          </cell>
          <cell r="Q95">
            <v>-0.76046666666666718</v>
          </cell>
          <cell r="R95">
            <v>-0.74400000000000055</v>
          </cell>
          <cell r="S95">
            <v>-0.72753333333333392</v>
          </cell>
          <cell r="T95">
            <v>-0.71106666666666729</v>
          </cell>
          <cell r="U95">
            <v>-0.69460000000000066</v>
          </cell>
          <cell r="V95">
            <v>-0.67813333333333403</v>
          </cell>
          <cell r="W95">
            <v>-0.6616666666666674</v>
          </cell>
          <cell r="X95">
            <v>-0.64520000000000077</v>
          </cell>
          <cell r="Y95">
            <v>-0.62873333333333414</v>
          </cell>
          <cell r="Z95">
            <v>-0.61226666666666751</v>
          </cell>
          <cell r="AA95">
            <v>-0.59580000000000088</v>
          </cell>
          <cell r="AB95">
            <v>-0.57933333333333425</v>
          </cell>
          <cell r="AC95">
            <v>-0.56286666666666763</v>
          </cell>
          <cell r="AD95">
            <v>-0.546400000000001</v>
          </cell>
          <cell r="AE95">
            <v>-0.52993333333333437</v>
          </cell>
          <cell r="AF95">
            <v>-0.51346666666666774</v>
          </cell>
          <cell r="AG95">
            <v>-0.49700000000000105</v>
          </cell>
          <cell r="AH95">
            <v>-0.48053333333333437</v>
          </cell>
          <cell r="AI95">
            <v>-0.46406666666666768</v>
          </cell>
          <cell r="AJ95">
            <v>-0.447600000000001</v>
          </cell>
          <cell r="AK95">
            <v>-0.43113333333333431</v>
          </cell>
          <cell r="AL95">
            <v>-0.41466666666666763</v>
          </cell>
          <cell r="AM95">
            <v>-0.39820000000000094</v>
          </cell>
          <cell r="AN95">
            <v>-0.38173333333333426</v>
          </cell>
          <cell r="AO95">
            <v>-0.36526666666666757</v>
          </cell>
          <cell r="AP95">
            <v>-0.34880000000000089</v>
          </cell>
          <cell r="AQ95">
            <v>-0.3323333333333342</v>
          </cell>
          <cell r="AR95">
            <v>-0.31586666666666752</v>
          </cell>
          <cell r="AS95">
            <v>-0.29940000000000083</v>
          </cell>
          <cell r="AT95">
            <v>-0.28293333333333415</v>
          </cell>
          <cell r="AU95">
            <v>-0.26646666666666746</v>
          </cell>
          <cell r="AV95">
            <v>-0.25</v>
          </cell>
          <cell r="AW95">
            <v>-0.26126666666666665</v>
          </cell>
          <cell r="AX95">
            <v>-0.27253333333333329</v>
          </cell>
          <cell r="AY95">
            <v>-0.28379999999999994</v>
          </cell>
          <cell r="AZ95">
            <v>-0.29506666666666659</v>
          </cell>
          <cell r="BA95">
            <v>-0.30633333333333324</v>
          </cell>
          <cell r="BB95">
            <v>-0.31759999999999988</v>
          </cell>
          <cell r="BC95">
            <v>-0.32886666666666653</v>
          </cell>
          <cell r="BD95">
            <v>-0.34013333333333318</v>
          </cell>
          <cell r="BE95">
            <v>-0.35139999999999982</v>
          </cell>
          <cell r="BF95">
            <v>-0.36266666666666647</v>
          </cell>
          <cell r="BG95">
            <v>-0.37393333333333312</v>
          </cell>
          <cell r="BH95">
            <v>-0.38519999999999976</v>
          </cell>
          <cell r="BI95">
            <v>-0.39646666666666641</v>
          </cell>
          <cell r="BJ95">
            <v>-0.40773333333333306</v>
          </cell>
          <cell r="BK95">
            <v>-0.41899999999999971</v>
          </cell>
          <cell r="BL95">
            <v>-0.43026666666666635</v>
          </cell>
          <cell r="BM95">
            <v>-0.441533333333333</v>
          </cell>
          <cell r="BN95">
            <v>-0.45279999999999965</v>
          </cell>
          <cell r="BO95">
            <v>-0.46406666666666629</v>
          </cell>
          <cell r="BP95">
            <v>-0.47533333333333294</v>
          </cell>
          <cell r="BQ95">
            <v>-0.48659999999999959</v>
          </cell>
          <cell r="BR95">
            <v>-0.49786666666666624</v>
          </cell>
          <cell r="BS95">
            <v>-0.50913333333333288</v>
          </cell>
          <cell r="BT95">
            <v>-0.52039999999999953</v>
          </cell>
          <cell r="BU95">
            <v>-0.53166666666666618</v>
          </cell>
          <cell r="BV95">
            <v>-0.54293333333333282</v>
          </cell>
          <cell r="BW95">
            <v>-0.55419999999999947</v>
          </cell>
          <cell r="BX95">
            <v>-0.56546666666666612</v>
          </cell>
          <cell r="BY95">
            <v>-0.57673333333333276</v>
          </cell>
          <cell r="BZ95">
            <v>-0.58799999999999941</v>
          </cell>
          <cell r="CA95">
            <v>-0.59926666666666606</v>
          </cell>
          <cell r="CB95">
            <v>-0.61053333333333271</v>
          </cell>
          <cell r="CC95">
            <v>-0.62179999999999935</v>
          </cell>
          <cell r="CD95">
            <v>-0.633066666666666</v>
          </cell>
          <cell r="CE95">
            <v>-0.64433333333333265</v>
          </cell>
          <cell r="CF95">
            <v>-0.65559999999999929</v>
          </cell>
          <cell r="CG95">
            <v>-0.66686666666666594</v>
          </cell>
          <cell r="CH95">
            <v>-0.67813333333333259</v>
          </cell>
          <cell r="CI95">
            <v>-0.68939999999999924</v>
          </cell>
          <cell r="CJ95">
            <v>-0.70066666666666588</v>
          </cell>
          <cell r="CK95">
            <v>-0.71193333333333253</v>
          </cell>
          <cell r="CL95">
            <v>-0.72319999999999918</v>
          </cell>
          <cell r="CM95">
            <v>-0.73446666666666582</v>
          </cell>
          <cell r="CN95">
            <v>-0.74573333333333247</v>
          </cell>
          <cell r="CO95">
            <v>-0.75700000000000001</v>
          </cell>
          <cell r="CP95">
            <v>-0.63151111111111113</v>
          </cell>
          <cell r="CQ95">
            <v>-0.50602222222222226</v>
          </cell>
          <cell r="CR95">
            <v>-0.38053333333333339</v>
          </cell>
          <cell r="CS95">
            <v>-0.25504444444444452</v>
          </cell>
          <cell r="CT95">
            <v>-0.12955555555555565</v>
          </cell>
          <cell r="CU95">
            <v>-4.0666666666667739E-3</v>
          </cell>
          <cell r="CV95">
            <v>0.1214222222222221</v>
          </cell>
          <cell r="CW95">
            <v>0.24691111111111097</v>
          </cell>
          <cell r="CX95">
            <v>0.37239999999999984</v>
          </cell>
          <cell r="CY95">
            <v>0.49788888888888871</v>
          </cell>
          <cell r="CZ95">
            <v>0.62337777777777759</v>
          </cell>
          <cell r="DA95">
            <v>0.74886666666666646</v>
          </cell>
          <cell r="DB95">
            <v>0.87435555555555533</v>
          </cell>
          <cell r="DC95">
            <v>0.9998444444444442</v>
          </cell>
          <cell r="DD95">
            <v>1.1253333333333331</v>
          </cell>
          <cell r="DE95">
            <v>1.2508222222222218</v>
          </cell>
          <cell r="DF95">
            <v>1.3763111111111108</v>
          </cell>
          <cell r="DG95">
            <v>1.5017999999999998</v>
          </cell>
          <cell r="DH95">
            <v>1.6272888888888888</v>
          </cell>
          <cell r="DI95">
            <v>1.7527777777777778</v>
          </cell>
          <cell r="DJ95">
            <v>1.8782666666666668</v>
          </cell>
          <cell r="DK95">
            <v>2.0037555555555557</v>
          </cell>
          <cell r="DL95">
            <v>2.1292444444444447</v>
          </cell>
          <cell r="DM95">
            <v>2.2547333333333337</v>
          </cell>
          <cell r="DN95">
            <v>2.3802222222222227</v>
          </cell>
          <cell r="DO95">
            <v>2.5057111111111117</v>
          </cell>
          <cell r="DP95">
            <v>2.6312000000000006</v>
          </cell>
          <cell r="DQ95">
            <v>2.7566888888888896</v>
          </cell>
          <cell r="DR95">
            <v>2.8821777777777786</v>
          </cell>
          <cell r="DS95">
            <v>3.0076666666666676</v>
          </cell>
          <cell r="DT95">
            <v>3.1331555555555566</v>
          </cell>
          <cell r="DU95">
            <v>3.2586444444444456</v>
          </cell>
          <cell r="DV95">
            <v>3.3841333333333345</v>
          </cell>
          <cell r="DW95">
            <v>3.5096222222222235</v>
          </cell>
          <cell r="DX95">
            <v>3.6351111111111125</v>
          </cell>
          <cell r="DY95">
            <v>3.7606000000000015</v>
          </cell>
          <cell r="DZ95">
            <v>3.8860888888888905</v>
          </cell>
          <cell r="EA95">
            <v>4.011577777777779</v>
          </cell>
          <cell r="EB95">
            <v>4.1370666666666676</v>
          </cell>
          <cell r="EC95">
            <v>4.2625555555555561</v>
          </cell>
          <cell r="ED95">
            <v>4.3880444444444446</v>
          </cell>
          <cell r="EE95">
            <v>4.5135333333333332</v>
          </cell>
          <cell r="EF95">
            <v>4.6390222222222217</v>
          </cell>
          <cell r="EG95">
            <v>4.7645111111111103</v>
          </cell>
          <cell r="EH95">
            <v>4.8899999999999997</v>
          </cell>
          <cell r="EI95">
            <v>4.7832711111111106</v>
          </cell>
          <cell r="EJ95">
            <v>4.6765422222222215</v>
          </cell>
          <cell r="EK95">
            <v>4.5698133333333324</v>
          </cell>
          <cell r="EL95">
            <v>4.4630844444444433</v>
          </cell>
          <cell r="EM95">
            <v>4.3563555555555542</v>
          </cell>
          <cell r="EN95">
            <v>4.2496266666666651</v>
          </cell>
          <cell r="EO95">
            <v>4.142897777777776</v>
          </cell>
          <cell r="EP95">
            <v>4.0361688888888869</v>
          </cell>
          <cell r="EQ95">
            <v>3.9294399999999978</v>
          </cell>
          <cell r="ER95">
            <v>3.8227111111111087</v>
          </cell>
          <cell r="ES95">
            <v>3.7159822222222196</v>
          </cell>
          <cell r="ET95">
            <v>3.6092533333333305</v>
          </cell>
          <cell r="EU95">
            <v>3.5025244444444414</v>
          </cell>
          <cell r="EV95">
            <v>3.3957955555555523</v>
          </cell>
          <cell r="EW95">
            <v>3.2890666666666633</v>
          </cell>
          <cell r="EX95">
            <v>3.1823377777777742</v>
          </cell>
          <cell r="EY95">
            <v>3.0756088888888851</v>
          </cell>
          <cell r="EZ95">
            <v>2.968879999999996</v>
          </cell>
          <cell r="FA95">
            <v>2.8621511111111069</v>
          </cell>
          <cell r="FB95">
            <v>2.7554222222222178</v>
          </cell>
          <cell r="FC95">
            <v>2.6486933333333287</v>
          </cell>
          <cell r="FD95">
            <v>2.5419644444444396</v>
          </cell>
          <cell r="FE95">
            <v>2.4352355555555505</v>
          </cell>
          <cell r="FF95">
            <v>2.3285066666666614</v>
          </cell>
          <cell r="FG95">
            <v>2.2217777777777723</v>
          </cell>
          <cell r="FH95">
            <v>2.1150488888888832</v>
          </cell>
          <cell r="FI95">
            <v>2.0083199999999941</v>
          </cell>
          <cell r="FJ95">
            <v>1.9015911111111052</v>
          </cell>
          <cell r="FK95">
            <v>1.7948622222222164</v>
          </cell>
          <cell r="FL95">
            <v>1.6881333333333275</v>
          </cell>
          <cell r="FM95">
            <v>1.5814044444444386</v>
          </cell>
          <cell r="FN95">
            <v>1.4746755555555497</v>
          </cell>
          <cell r="FO95">
            <v>1.3679466666666609</v>
          </cell>
          <cell r="FP95">
            <v>1.261217777777772</v>
          </cell>
          <cell r="FQ95">
            <v>1.1544888888888831</v>
          </cell>
          <cell r="FR95">
            <v>1.0477599999999943</v>
          </cell>
          <cell r="FS95">
            <v>0.94103111111110538</v>
          </cell>
          <cell r="FT95">
            <v>0.83430222222221651</v>
          </cell>
          <cell r="FU95">
            <v>0.72757333333332763</v>
          </cell>
          <cell r="FV95">
            <v>0.62084444444443876</v>
          </cell>
          <cell r="FW95">
            <v>0.51411555555554989</v>
          </cell>
          <cell r="FX95">
            <v>0.40738666666666101</v>
          </cell>
          <cell r="FY95">
            <v>0.30065777777777214</v>
          </cell>
          <cell r="FZ95">
            <v>0.19392888888888327</v>
          </cell>
          <cell r="GA95">
            <v>8.72E-2</v>
          </cell>
        </row>
        <row r="96">
          <cell r="B96" t="str">
            <v>k9</v>
          </cell>
          <cell r="C96">
            <v>4.59</v>
          </cell>
          <cell r="D96">
            <v>4.556222222222222</v>
          </cell>
          <cell r="E96">
            <v>4.522444444444444</v>
          </cell>
          <cell r="F96">
            <v>4.4886666666666661</v>
          </cell>
          <cell r="G96">
            <v>4.4548888888888882</v>
          </cell>
          <cell r="H96">
            <v>4.4211111111111103</v>
          </cell>
          <cell r="I96">
            <v>4.3873333333333324</v>
          </cell>
          <cell r="J96">
            <v>4.3535555555555545</v>
          </cell>
          <cell r="K96">
            <v>4.3197777777777766</v>
          </cell>
          <cell r="L96">
            <v>4.2859999999999987</v>
          </cell>
          <cell r="M96">
            <v>4.2522222222222208</v>
          </cell>
          <cell r="N96">
            <v>4.2184444444444429</v>
          </cell>
          <cell r="O96">
            <v>4.184666666666665</v>
          </cell>
          <cell r="P96">
            <v>4.1508888888888871</v>
          </cell>
          <cell r="Q96">
            <v>4.1171111111111092</v>
          </cell>
          <cell r="R96">
            <v>4.0833333333333313</v>
          </cell>
          <cell r="S96">
            <v>4.0495555555555534</v>
          </cell>
          <cell r="T96">
            <v>4.0157777777777754</v>
          </cell>
          <cell r="U96">
            <v>3.9819999999999975</v>
          </cell>
          <cell r="V96">
            <v>3.9482222222222196</v>
          </cell>
          <cell r="W96">
            <v>3.9144444444444417</v>
          </cell>
          <cell r="X96">
            <v>3.8806666666666638</v>
          </cell>
          <cell r="Y96">
            <v>3.8468888888888859</v>
          </cell>
          <cell r="Z96">
            <v>3.813111111111108</v>
          </cell>
          <cell r="AA96">
            <v>3.7793333333333301</v>
          </cell>
          <cell r="AB96">
            <v>3.7455555555555522</v>
          </cell>
          <cell r="AC96">
            <v>3.7117777777777743</v>
          </cell>
          <cell r="AD96">
            <v>3.6779999999999964</v>
          </cell>
          <cell r="AE96">
            <v>3.6442222222222185</v>
          </cell>
          <cell r="AF96">
            <v>3.6104444444444406</v>
          </cell>
          <cell r="AG96">
            <v>3.5766666666666627</v>
          </cell>
          <cell r="AH96">
            <v>3.5428888888888848</v>
          </cell>
          <cell r="AI96">
            <v>3.5091111111111069</v>
          </cell>
          <cell r="AJ96">
            <v>3.4753333333333289</v>
          </cell>
          <cell r="AK96">
            <v>3.441555555555551</v>
          </cell>
          <cell r="AL96">
            <v>3.4077777777777731</v>
          </cell>
          <cell r="AM96">
            <v>3.3739999999999952</v>
          </cell>
          <cell r="AN96">
            <v>3.3402222222222173</v>
          </cell>
          <cell r="AO96">
            <v>3.3064444444444394</v>
          </cell>
          <cell r="AP96">
            <v>3.2726666666666615</v>
          </cell>
          <cell r="AQ96">
            <v>3.2388888888888836</v>
          </cell>
          <cell r="AR96">
            <v>3.2051111111111057</v>
          </cell>
          <cell r="AS96">
            <v>3.1713333333333278</v>
          </cell>
          <cell r="AT96">
            <v>3.1375555555555499</v>
          </cell>
          <cell r="AU96">
            <v>3.103777777777772</v>
          </cell>
          <cell r="AV96">
            <v>3.07</v>
          </cell>
          <cell r="AW96">
            <v>3.0151999999999997</v>
          </cell>
          <cell r="AX96">
            <v>2.9603999999999995</v>
          </cell>
          <cell r="AY96">
            <v>2.9055999999999993</v>
          </cell>
          <cell r="AZ96">
            <v>2.8507999999999991</v>
          </cell>
          <cell r="BA96">
            <v>2.7959999999999989</v>
          </cell>
          <cell r="BB96">
            <v>2.7411999999999987</v>
          </cell>
          <cell r="BC96">
            <v>2.6863999999999986</v>
          </cell>
          <cell r="BD96">
            <v>2.6315999999999984</v>
          </cell>
          <cell r="BE96">
            <v>2.5767999999999982</v>
          </cell>
          <cell r="BF96">
            <v>2.521999999999998</v>
          </cell>
          <cell r="BG96">
            <v>2.4671999999999978</v>
          </cell>
          <cell r="BH96">
            <v>2.4123999999999977</v>
          </cell>
          <cell r="BI96">
            <v>2.3575999999999975</v>
          </cell>
          <cell r="BJ96">
            <v>2.3027999999999973</v>
          </cell>
          <cell r="BK96">
            <v>2.2479999999999971</v>
          </cell>
          <cell r="BL96">
            <v>2.1931999999999969</v>
          </cell>
          <cell r="BM96">
            <v>2.1383999999999967</v>
          </cell>
          <cell r="BN96">
            <v>2.0835999999999966</v>
          </cell>
          <cell r="BO96">
            <v>2.0287999999999964</v>
          </cell>
          <cell r="BP96">
            <v>1.9739999999999964</v>
          </cell>
          <cell r="BQ96">
            <v>1.9191999999999965</v>
          </cell>
          <cell r="BR96">
            <v>1.8643999999999965</v>
          </cell>
          <cell r="BS96">
            <v>1.8095999999999965</v>
          </cell>
          <cell r="BT96">
            <v>1.7547999999999966</v>
          </cell>
          <cell r="BU96">
            <v>1.6999999999999966</v>
          </cell>
          <cell r="BV96">
            <v>1.6451999999999967</v>
          </cell>
          <cell r="BW96">
            <v>1.5903999999999967</v>
          </cell>
          <cell r="BX96">
            <v>1.5355999999999967</v>
          </cell>
          <cell r="BY96">
            <v>1.4807999999999968</v>
          </cell>
          <cell r="BZ96">
            <v>1.4259999999999968</v>
          </cell>
          <cell r="CA96">
            <v>1.3711999999999969</v>
          </cell>
          <cell r="CB96">
            <v>1.3163999999999969</v>
          </cell>
          <cell r="CC96">
            <v>1.2615999999999969</v>
          </cell>
          <cell r="CD96">
            <v>1.206799999999997</v>
          </cell>
          <cell r="CE96">
            <v>1.151999999999997</v>
          </cell>
          <cell r="CF96">
            <v>1.0971999999999971</v>
          </cell>
          <cell r="CG96">
            <v>1.0423999999999971</v>
          </cell>
          <cell r="CH96">
            <v>0.98759999999999715</v>
          </cell>
          <cell r="CI96">
            <v>0.93279999999999719</v>
          </cell>
          <cell r="CJ96">
            <v>0.87799999999999723</v>
          </cell>
          <cell r="CK96">
            <v>0.82319999999999727</v>
          </cell>
          <cell r="CL96">
            <v>0.76839999999999731</v>
          </cell>
          <cell r="CM96">
            <v>0.71359999999999735</v>
          </cell>
          <cell r="CN96">
            <v>0.65879999999999739</v>
          </cell>
          <cell r="CO96">
            <v>0.60399999999999998</v>
          </cell>
          <cell r="CP96">
            <v>0.54635555555555548</v>
          </cell>
          <cell r="CQ96">
            <v>0.48871111111111104</v>
          </cell>
          <cell r="CR96">
            <v>0.4310666666666666</v>
          </cell>
          <cell r="CS96">
            <v>0.37342222222222216</v>
          </cell>
          <cell r="CT96">
            <v>0.31577777777777771</v>
          </cell>
          <cell r="CU96">
            <v>0.25813333333333327</v>
          </cell>
          <cell r="CV96">
            <v>0.20048888888888883</v>
          </cell>
          <cell r="CW96">
            <v>0.14284444444444439</v>
          </cell>
          <cell r="CX96">
            <v>8.5199999999999942E-2</v>
          </cell>
          <cell r="CY96">
            <v>2.75555555555555E-2</v>
          </cell>
          <cell r="CZ96">
            <v>-3.0088888888888943E-2</v>
          </cell>
          <cell r="DA96">
            <v>-8.7733333333333385E-2</v>
          </cell>
          <cell r="DB96">
            <v>-0.14537777777777783</v>
          </cell>
          <cell r="DC96">
            <v>-0.20302222222222227</v>
          </cell>
          <cell r="DD96">
            <v>-0.26066666666666671</v>
          </cell>
          <cell r="DE96">
            <v>-0.31831111111111116</v>
          </cell>
          <cell r="DF96">
            <v>-0.3759555555555556</v>
          </cell>
          <cell r="DG96">
            <v>-0.43360000000000004</v>
          </cell>
          <cell r="DH96">
            <v>-0.49124444444444448</v>
          </cell>
          <cell r="DI96">
            <v>-0.54888888888888898</v>
          </cell>
          <cell r="DJ96">
            <v>-0.60653333333333337</v>
          </cell>
          <cell r="DK96">
            <v>-0.66417777777777776</v>
          </cell>
          <cell r="DL96">
            <v>-0.72182222222222214</v>
          </cell>
          <cell r="DM96">
            <v>-0.77946666666666653</v>
          </cell>
          <cell r="DN96">
            <v>-0.83711111111111092</v>
          </cell>
          <cell r="DO96">
            <v>-0.8947555555555553</v>
          </cell>
          <cell r="DP96">
            <v>-0.95239999999999969</v>
          </cell>
          <cell r="DQ96">
            <v>-1.0100444444444441</v>
          </cell>
          <cell r="DR96">
            <v>-1.0676888888888885</v>
          </cell>
          <cell r="DS96">
            <v>-1.1253333333333329</v>
          </cell>
          <cell r="DT96">
            <v>-1.1829777777777772</v>
          </cell>
          <cell r="DU96">
            <v>-1.2406222222222216</v>
          </cell>
          <cell r="DV96">
            <v>-1.298266666666666</v>
          </cell>
          <cell r="DW96">
            <v>-1.3559111111111104</v>
          </cell>
          <cell r="DX96">
            <v>-1.4135555555555548</v>
          </cell>
          <cell r="DY96">
            <v>-1.4711999999999992</v>
          </cell>
          <cell r="DZ96">
            <v>-1.5288444444444436</v>
          </cell>
          <cell r="EA96">
            <v>-1.5864888888888879</v>
          </cell>
          <cell r="EB96">
            <v>-1.6441333333333323</v>
          </cell>
          <cell r="EC96">
            <v>-1.7017777777777767</v>
          </cell>
          <cell r="ED96">
            <v>-1.7594222222222211</v>
          </cell>
          <cell r="EE96">
            <v>-1.8170666666666655</v>
          </cell>
          <cell r="EF96">
            <v>-1.8747111111111099</v>
          </cell>
          <cell r="EG96">
            <v>-1.9323555555555543</v>
          </cell>
          <cell r="EH96">
            <v>-1.99</v>
          </cell>
          <cell r="EI96">
            <v>-1.9500222222222221</v>
          </cell>
          <cell r="EJ96">
            <v>-1.9100444444444444</v>
          </cell>
          <cell r="EK96">
            <v>-1.8700666666666668</v>
          </cell>
          <cell r="EL96">
            <v>-1.8300888888888891</v>
          </cell>
          <cell r="EM96">
            <v>-1.7901111111111114</v>
          </cell>
          <cell r="EN96">
            <v>-1.7501333333333338</v>
          </cell>
          <cell r="EO96">
            <v>-1.7101555555555561</v>
          </cell>
          <cell r="EP96">
            <v>-1.6701777777777784</v>
          </cell>
          <cell r="EQ96">
            <v>-1.6302000000000008</v>
          </cell>
          <cell r="ER96">
            <v>-1.5902222222222231</v>
          </cell>
          <cell r="ES96">
            <v>-1.5502444444444454</v>
          </cell>
          <cell r="ET96">
            <v>-1.5102666666666678</v>
          </cell>
          <cell r="EU96">
            <v>-1.4702888888888901</v>
          </cell>
          <cell r="EV96">
            <v>-1.4303111111111124</v>
          </cell>
          <cell r="EW96">
            <v>-1.3903333333333348</v>
          </cell>
          <cell r="EX96">
            <v>-1.3503555555555571</v>
          </cell>
          <cell r="EY96">
            <v>-1.3103777777777794</v>
          </cell>
          <cell r="EZ96">
            <v>-1.2704000000000018</v>
          </cell>
          <cell r="FA96">
            <v>-1.2304222222222241</v>
          </cell>
          <cell r="FB96">
            <v>-1.1904444444444464</v>
          </cell>
          <cell r="FC96">
            <v>-1.1504666666666687</v>
          </cell>
          <cell r="FD96">
            <v>-1.1104888888888911</v>
          </cell>
          <cell r="FE96">
            <v>-1.0705111111111134</v>
          </cell>
          <cell r="FF96">
            <v>-1.0305333333333357</v>
          </cell>
          <cell r="FG96">
            <v>-0.99055555555555796</v>
          </cell>
          <cell r="FH96">
            <v>-0.95057777777778019</v>
          </cell>
          <cell r="FI96">
            <v>-0.91060000000000241</v>
          </cell>
          <cell r="FJ96">
            <v>-0.87062222222222463</v>
          </cell>
          <cell r="FK96">
            <v>-0.83064444444444685</v>
          </cell>
          <cell r="FL96">
            <v>-0.79066666666666907</v>
          </cell>
          <cell r="FM96">
            <v>-0.75068888888889129</v>
          </cell>
          <cell r="FN96">
            <v>-0.71071111111111351</v>
          </cell>
          <cell r="FO96">
            <v>-0.67073333333333574</v>
          </cell>
          <cell r="FP96">
            <v>-0.63075555555555796</v>
          </cell>
          <cell r="FQ96">
            <v>-0.59077777777778018</v>
          </cell>
          <cell r="FR96">
            <v>-0.5508000000000024</v>
          </cell>
          <cell r="FS96">
            <v>-0.51082222222222462</v>
          </cell>
          <cell r="FT96">
            <v>-0.47084444444444684</v>
          </cell>
          <cell r="FU96">
            <v>-0.43086666666666906</v>
          </cell>
          <cell r="FV96">
            <v>-0.39088888888889128</v>
          </cell>
          <cell r="FW96">
            <v>-0.35091111111111351</v>
          </cell>
          <cell r="FX96">
            <v>-0.31093333333333573</v>
          </cell>
          <cell r="FY96">
            <v>-0.27095555555555795</v>
          </cell>
          <cell r="FZ96">
            <v>-0.23097777777778017</v>
          </cell>
          <cell r="GA96">
            <v>-0.191</v>
          </cell>
        </row>
        <row r="111">
          <cell r="N111">
            <v>169</v>
          </cell>
          <cell r="P111">
            <v>167</v>
          </cell>
          <cell r="Q111">
            <v>166</v>
          </cell>
          <cell r="R111">
            <v>165</v>
          </cell>
          <cell r="S111">
            <v>164</v>
          </cell>
          <cell r="T111">
            <v>163</v>
          </cell>
          <cell r="U111">
            <v>162</v>
          </cell>
          <cell r="V111">
            <v>161</v>
          </cell>
          <cell r="W111">
            <v>160</v>
          </cell>
          <cell r="X111">
            <v>159</v>
          </cell>
          <cell r="Y111">
            <v>158</v>
          </cell>
          <cell r="Z111">
            <v>157</v>
          </cell>
          <cell r="AA111">
            <v>156</v>
          </cell>
          <cell r="AB111">
            <v>155</v>
          </cell>
          <cell r="AF111">
            <v>151</v>
          </cell>
          <cell r="AH111">
            <v>149</v>
          </cell>
          <cell r="AI111">
            <v>148</v>
          </cell>
          <cell r="AJ111">
            <v>147</v>
          </cell>
          <cell r="AK111">
            <v>146</v>
          </cell>
          <cell r="AL111">
            <v>145</v>
          </cell>
        </row>
        <row r="112">
          <cell r="N112">
            <v>19.911444444444427</v>
          </cell>
          <cell r="P112">
            <v>18.749888888888869</v>
          </cell>
          <cell r="Q112">
            <v>18.169111111111089</v>
          </cell>
          <cell r="R112">
            <v>17.58833333333331</v>
          </cell>
          <cell r="S112">
            <v>17.00755555555553</v>
          </cell>
          <cell r="T112">
            <v>16.426777777777751</v>
          </cell>
          <cell r="U112">
            <v>15.845999999999973</v>
          </cell>
          <cell r="V112">
            <v>15.265222222222196</v>
          </cell>
          <cell r="W112">
            <v>14.684444444444418</v>
          </cell>
          <cell r="X112">
            <v>14.103666666666641</v>
          </cell>
          <cell r="Y112">
            <v>13.522888888888863</v>
          </cell>
          <cell r="Z112">
            <v>12.942111111111085</v>
          </cell>
          <cell r="AA112">
            <v>12.361333333333308</v>
          </cell>
          <cell r="AB112">
            <v>11.78055555555553</v>
          </cell>
          <cell r="AF112">
            <v>9.4574444444444197</v>
          </cell>
          <cell r="AH112">
            <v>8.2958888888888644</v>
          </cell>
          <cell r="AI112">
            <v>7.7151111111110868</v>
          </cell>
          <cell r="AJ112">
            <v>7.1343333333333092</v>
          </cell>
          <cell r="AK112">
            <v>6.5535555555555316</v>
          </cell>
          <cell r="AL112">
            <v>5.972777777777754</v>
          </cell>
        </row>
        <row r="113">
          <cell r="N113">
            <v>-29.988444444444422</v>
          </cell>
          <cell r="P113">
            <v>-28.440888888888868</v>
          </cell>
          <cell r="Q113">
            <v>-27.66711111111109</v>
          </cell>
          <cell r="R113">
            <v>-26.893333333333313</v>
          </cell>
          <cell r="S113">
            <v>-26.119555555555536</v>
          </cell>
          <cell r="T113">
            <v>-25.345777777777759</v>
          </cell>
          <cell r="U113">
            <v>-24.571999999999981</v>
          </cell>
          <cell r="V113">
            <v>-23.798222222222204</v>
          </cell>
          <cell r="W113">
            <v>-23.024444444444427</v>
          </cell>
          <cell r="X113">
            <v>-22.25066666666665</v>
          </cell>
          <cell r="Y113">
            <v>-21.476888888888872</v>
          </cell>
          <cell r="Z113">
            <v>-20.703111111111095</v>
          </cell>
          <cell r="AA113">
            <v>-19.929333333333318</v>
          </cell>
          <cell r="AB113">
            <v>-19.155555555555541</v>
          </cell>
          <cell r="AF113">
            <v>-16.060444444444432</v>
          </cell>
          <cell r="AH113">
            <v>-14.512888888888877</v>
          </cell>
          <cell r="AI113">
            <v>-13.7391111111111</v>
          </cell>
          <cell r="AJ113">
            <v>-12.965333333333323</v>
          </cell>
          <cell r="AK113">
            <v>-12.191555555555546</v>
          </cell>
          <cell r="AL113">
            <v>-11.417777777777768</v>
          </cell>
        </row>
        <row r="114">
          <cell r="N114">
            <v>11.915555555555555</v>
          </cell>
          <cell r="P114">
            <v>11.39111111111111</v>
          </cell>
          <cell r="Q114">
            <v>11.128888888888888</v>
          </cell>
          <cell r="R114">
            <v>10.866666666666665</v>
          </cell>
          <cell r="S114">
            <v>10.604444444444443</v>
          </cell>
          <cell r="T114">
            <v>10.342222222222221</v>
          </cell>
          <cell r="U114">
            <v>10.079999999999998</v>
          </cell>
          <cell r="V114">
            <v>9.8177777777777759</v>
          </cell>
          <cell r="W114">
            <v>9.5555555555555536</v>
          </cell>
          <cell r="X114">
            <v>9.2933333333333312</v>
          </cell>
          <cell r="Y114">
            <v>9.0311111111111089</v>
          </cell>
          <cell r="Z114">
            <v>8.7688888888888865</v>
          </cell>
          <cell r="AA114">
            <v>8.5066666666666642</v>
          </cell>
          <cell r="AB114">
            <v>8.2444444444444418</v>
          </cell>
          <cell r="AF114">
            <v>7.1955555555555524</v>
          </cell>
          <cell r="AH114">
            <v>6.6711111111111077</v>
          </cell>
          <cell r="AI114">
            <v>6.4088888888888853</v>
          </cell>
          <cell r="AJ114">
            <v>6.1466666666666629</v>
          </cell>
          <cell r="AK114">
            <v>5.8844444444444406</v>
          </cell>
          <cell r="AL114">
            <v>5.6222222222222182</v>
          </cell>
        </row>
        <row r="115">
          <cell r="N115">
            <v>-10.907111111111108</v>
          </cell>
          <cell r="P115">
            <v>-9.8902222222222189</v>
          </cell>
          <cell r="Q115">
            <v>-9.3817777777777742</v>
          </cell>
          <cell r="R115">
            <v>-8.8733333333333295</v>
          </cell>
          <cell r="S115">
            <v>-8.3648888888888848</v>
          </cell>
          <cell r="T115">
            <v>-7.8564444444444401</v>
          </cell>
          <cell r="U115">
            <v>-7.3479999999999954</v>
          </cell>
          <cell r="V115">
            <v>-6.8395555555555507</v>
          </cell>
          <cell r="W115">
            <v>-6.331111111111106</v>
          </cell>
          <cell r="X115">
            <v>-5.8226666666666613</v>
          </cell>
          <cell r="Y115">
            <v>-5.3142222222222166</v>
          </cell>
          <cell r="Z115">
            <v>-4.8057777777777719</v>
          </cell>
          <cell r="AA115">
            <v>-4.2973333333333272</v>
          </cell>
          <cell r="AB115">
            <v>-3.7888888888888825</v>
          </cell>
          <cell r="AF115">
            <v>-1.755111111111104</v>
          </cell>
          <cell r="AH115">
            <v>-0.73822222222221501</v>
          </cell>
          <cell r="AI115">
            <v>-0.22977777777777053</v>
          </cell>
          <cell r="AJ115">
            <v>0.27866666666667395</v>
          </cell>
          <cell r="AK115">
            <v>0.78711111111111842</v>
          </cell>
          <cell r="AL115">
            <v>1.2955555555555629</v>
          </cell>
        </row>
        <row r="116">
          <cell r="N116">
            <v>19.519333333333321</v>
          </cell>
          <cell r="P116">
            <v>18.104666666666652</v>
          </cell>
          <cell r="Q116">
            <v>17.397333333333318</v>
          </cell>
          <cell r="R116">
            <v>16.689999999999984</v>
          </cell>
          <cell r="S116">
            <v>15.982666666666651</v>
          </cell>
          <cell r="T116">
            <v>15.275333333333318</v>
          </cell>
          <cell r="U116">
            <v>14.567999999999985</v>
          </cell>
          <cell r="V116">
            <v>13.860666666666653</v>
          </cell>
          <cell r="W116">
            <v>13.15333333333332</v>
          </cell>
          <cell r="X116">
            <v>12.445999999999987</v>
          </cell>
          <cell r="Y116">
            <v>11.738666666666655</v>
          </cell>
          <cell r="Z116">
            <v>11.031333333333322</v>
          </cell>
          <cell r="AA116">
            <v>10.323999999999989</v>
          </cell>
          <cell r="AB116">
            <v>9.6166666666666565</v>
          </cell>
          <cell r="AF116">
            <v>6.7873333333333239</v>
          </cell>
          <cell r="AH116">
            <v>5.3726666666666567</v>
          </cell>
          <cell r="AI116">
            <v>4.6653333333333231</v>
          </cell>
          <cell r="AJ116">
            <v>3.9579999999999895</v>
          </cell>
          <cell r="AK116">
            <v>3.2506666666666559</v>
          </cell>
          <cell r="AL116">
            <v>2.5433333333333223</v>
          </cell>
        </row>
        <row r="117">
          <cell r="N117">
            <v>-9.0901111111111099</v>
          </cell>
          <cell r="P117">
            <v>-8.5792222222222208</v>
          </cell>
          <cell r="Q117">
            <v>-8.3237777777777762</v>
          </cell>
          <cell r="R117">
            <v>-8.0683333333333316</v>
          </cell>
          <cell r="S117">
            <v>-7.812888888888887</v>
          </cell>
          <cell r="T117">
            <v>-7.5574444444444424</v>
          </cell>
          <cell r="U117">
            <v>-7.3019999999999978</v>
          </cell>
          <cell r="V117">
            <v>-7.0465555555555532</v>
          </cell>
          <cell r="W117">
            <v>-6.7911111111111087</v>
          </cell>
          <cell r="X117">
            <v>-6.5356666666666641</v>
          </cell>
          <cell r="Y117">
            <v>-6.2802222222222195</v>
          </cell>
          <cell r="Z117">
            <v>-6.0247777777777749</v>
          </cell>
          <cell r="AA117">
            <v>-5.7693333333333303</v>
          </cell>
          <cell r="AB117">
            <v>-5.5138888888888857</v>
          </cell>
          <cell r="AF117">
            <v>-4.4921111111111074</v>
          </cell>
          <cell r="AH117">
            <v>-3.9812222222222182</v>
          </cell>
          <cell r="AI117">
            <v>-3.7257777777777736</v>
          </cell>
          <cell r="AJ117">
            <v>-3.4703333333333291</v>
          </cell>
          <cell r="AK117">
            <v>-3.2148888888888845</v>
          </cell>
          <cell r="AL117">
            <v>-2.9594444444444399</v>
          </cell>
        </row>
        <row r="118">
          <cell r="N118">
            <v>-1.871555555555555</v>
          </cell>
          <cell r="P118">
            <v>-2.0191111111111106</v>
          </cell>
          <cell r="Q118">
            <v>-2.0928888888888886</v>
          </cell>
          <cell r="R118">
            <v>-2.1666666666666665</v>
          </cell>
          <cell r="S118">
            <v>-2.2404444444444445</v>
          </cell>
          <cell r="T118">
            <v>-2.3142222222222224</v>
          </cell>
          <cell r="U118">
            <v>-2.3880000000000003</v>
          </cell>
          <cell r="V118">
            <v>-2.4617777777777783</v>
          </cell>
          <cell r="W118">
            <v>-2.5355555555555562</v>
          </cell>
          <cell r="X118">
            <v>-2.6093333333333342</v>
          </cell>
          <cell r="Y118">
            <v>-2.6831111111111121</v>
          </cell>
          <cell r="Z118">
            <v>-2.7568888888888901</v>
          </cell>
          <cell r="AA118">
            <v>-2.830666666666668</v>
          </cell>
          <cell r="AB118">
            <v>-2.9044444444444459</v>
          </cell>
          <cell r="AF118">
            <v>-3.1995555555555577</v>
          </cell>
          <cell r="AH118">
            <v>-3.3471111111111136</v>
          </cell>
          <cell r="AI118">
            <v>-3.4208888888888915</v>
          </cell>
          <cell r="AJ118">
            <v>-3.4946666666666695</v>
          </cell>
          <cell r="AK118">
            <v>-3.5684444444444474</v>
          </cell>
          <cell r="AL118">
            <v>-3.6422222222222254</v>
          </cell>
        </row>
        <row r="119">
          <cell r="N119">
            <v>1.2612177777777775</v>
          </cell>
          <cell r="P119">
            <v>1.4746755555555553</v>
          </cell>
          <cell r="Q119">
            <v>1.5814044444444442</v>
          </cell>
          <cell r="R119">
            <v>1.688133333333333</v>
          </cell>
          <cell r="S119">
            <v>1.7948622222222219</v>
          </cell>
          <cell r="T119">
            <v>1.9015911111111108</v>
          </cell>
          <cell r="U119">
            <v>2.0083199999999994</v>
          </cell>
          <cell r="V119">
            <v>2.1150488888888885</v>
          </cell>
          <cell r="W119">
            <v>2.2217777777777776</v>
          </cell>
          <cell r="X119">
            <v>2.3285066666666667</v>
          </cell>
          <cell r="Y119">
            <v>2.4352355555555558</v>
          </cell>
          <cell r="Z119">
            <v>2.5419644444444449</v>
          </cell>
          <cell r="AA119">
            <v>2.648693333333334</v>
          </cell>
          <cell r="AB119">
            <v>2.7554222222222231</v>
          </cell>
          <cell r="AF119">
            <v>3.1823377777777795</v>
          </cell>
          <cell r="AH119">
            <v>3.3957955555555577</v>
          </cell>
          <cell r="AI119">
            <v>3.5025244444444468</v>
          </cell>
          <cell r="AJ119">
            <v>3.6092533333333359</v>
          </cell>
          <cell r="AK119">
            <v>3.715982222222225</v>
          </cell>
          <cell r="AL119">
            <v>3.8227111111111141</v>
          </cell>
        </row>
        <row r="120">
          <cell r="N120">
            <v>-0.63075555555555562</v>
          </cell>
          <cell r="P120">
            <v>-0.71071111111111118</v>
          </cell>
          <cell r="Q120">
            <v>-0.75068888888888896</v>
          </cell>
          <cell r="R120">
            <v>-0.79066666666666674</v>
          </cell>
          <cell r="S120">
            <v>-0.83064444444444452</v>
          </cell>
          <cell r="T120">
            <v>-0.8706222222222223</v>
          </cell>
          <cell r="U120">
            <v>-0.91060000000000008</v>
          </cell>
          <cell r="V120">
            <v>-0.95057777777777785</v>
          </cell>
          <cell r="W120">
            <v>-0.99055555555555563</v>
          </cell>
          <cell r="X120">
            <v>-1.0305333333333335</v>
          </cell>
          <cell r="Y120">
            <v>-1.0705111111111112</v>
          </cell>
          <cell r="Z120">
            <v>-1.1104888888888889</v>
          </cell>
          <cell r="AA120">
            <v>-1.1504666666666665</v>
          </cell>
          <cell r="AB120">
            <v>-1.1904444444444442</v>
          </cell>
          <cell r="AF120">
            <v>-1.3503555555555549</v>
          </cell>
          <cell r="AH120">
            <v>-1.4303111111111102</v>
          </cell>
          <cell r="AI120">
            <v>-1.4702888888888879</v>
          </cell>
          <cell r="AJ120">
            <v>-1.5102666666666655</v>
          </cell>
          <cell r="AK120">
            <v>-1.5502444444444432</v>
          </cell>
          <cell r="AL120">
            <v>-1.5902222222222209</v>
          </cell>
        </row>
        <row r="123">
          <cell r="N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F123">
            <v>0</v>
          </cell>
          <cell r="AH123">
            <v>0</v>
          </cell>
          <cell r="AI123">
            <v>0</v>
          </cell>
          <cell r="AJ123">
            <v>0</v>
          </cell>
          <cell r="AK123">
            <v>0</v>
          </cell>
          <cell r="AL123">
            <v>0</v>
          </cell>
        </row>
        <row r="124">
          <cell r="N124">
            <v>0.16017777777777908</v>
          </cell>
          <cell r="P124">
            <v>0.15075555555555686</v>
          </cell>
          <cell r="Q124">
            <v>0.14604444444444575</v>
          </cell>
          <cell r="R124">
            <v>0.14133333333333464</v>
          </cell>
          <cell r="S124">
            <v>0.13662222222222364</v>
          </cell>
          <cell r="T124">
            <v>0.13191111111111264</v>
          </cell>
          <cell r="U124">
            <v>0.12720000000000153</v>
          </cell>
          <cell r="V124">
            <v>0.12248888888889042</v>
          </cell>
          <cell r="W124">
            <v>0.11777777777777931</v>
          </cell>
          <cell r="X124">
            <v>0.1130666666666682</v>
          </cell>
          <cell r="Y124">
            <v>0.10835555555555709</v>
          </cell>
          <cell r="Z124">
            <v>0.10364444444444598</v>
          </cell>
          <cell r="AA124">
            <v>9.8933333333334872E-2</v>
          </cell>
          <cell r="AB124">
            <v>9.4222222222223762E-2</v>
          </cell>
          <cell r="AF124">
            <v>7.537777777777932E-2</v>
          </cell>
          <cell r="AH124">
            <v>6.5955555555557099E-2</v>
          </cell>
          <cell r="AI124">
            <v>6.1244444444445989E-2</v>
          </cell>
          <cell r="AJ124">
            <v>5.6533333333334657E-2</v>
          </cell>
          <cell r="AK124">
            <v>5.1822222222223324E-2</v>
          </cell>
          <cell r="AL124">
            <v>4.7111111111111992E-2</v>
          </cell>
        </row>
        <row r="125">
          <cell r="N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F125">
            <v>0</v>
          </cell>
          <cell r="AH125">
            <v>0</v>
          </cell>
          <cell r="AI125">
            <v>0</v>
          </cell>
          <cell r="AJ125">
            <v>0</v>
          </cell>
          <cell r="AK125">
            <v>0</v>
          </cell>
          <cell r="AL125">
            <v>0</v>
          </cell>
        </row>
        <row r="126">
          <cell r="N126">
            <v>-1.1546319456101628E-14</v>
          </cell>
          <cell r="P126">
            <v>-1.1546319456101628E-14</v>
          </cell>
          <cell r="Q126">
            <v>-1.1546319456101628E-14</v>
          </cell>
          <cell r="R126">
            <v>-1.1546319456101628E-14</v>
          </cell>
          <cell r="S126">
            <v>-1.1546319456101628E-14</v>
          </cell>
          <cell r="T126">
            <v>-1.1546319456101628E-14</v>
          </cell>
          <cell r="U126">
            <v>-1.1546319456101628E-14</v>
          </cell>
          <cell r="V126">
            <v>-1.1546319456101628E-14</v>
          </cell>
          <cell r="W126">
            <v>-1.1546319456101628E-14</v>
          </cell>
          <cell r="X126">
            <v>-1.1546319456101628E-14</v>
          </cell>
          <cell r="Y126">
            <v>-1.1546319456101628E-14</v>
          </cell>
          <cell r="Z126">
            <v>-1.1546319456101628E-14</v>
          </cell>
          <cell r="AA126">
            <v>-1.1546319456101628E-14</v>
          </cell>
          <cell r="AB126">
            <v>-1.1546319456101628E-14</v>
          </cell>
          <cell r="AF126">
            <v>-1.1546319456101628E-14</v>
          </cell>
          <cell r="AH126">
            <v>-1.1546319456101628E-14</v>
          </cell>
          <cell r="AI126">
            <v>-1.1546319456101628E-14</v>
          </cell>
          <cell r="AJ126">
            <v>-1.1546319456101628E-14</v>
          </cell>
          <cell r="AK126">
            <v>-1.1546319456101628E-14</v>
          </cell>
          <cell r="AL126">
            <v>-1.1546319456101628E-14</v>
          </cell>
        </row>
        <row r="127">
          <cell r="N127">
            <v>-2.2204460492503131E-15</v>
          </cell>
          <cell r="P127">
            <v>-2.2204460492503131E-15</v>
          </cell>
          <cell r="Q127">
            <v>-2.2204460492503131E-15</v>
          </cell>
          <cell r="R127">
            <v>-2.2204460492503131E-15</v>
          </cell>
          <cell r="S127">
            <v>-2.2204460492503131E-15</v>
          </cell>
          <cell r="T127">
            <v>-2.2204460492503131E-15</v>
          </cell>
          <cell r="U127">
            <v>-2.2204460492503131E-15</v>
          </cell>
          <cell r="V127">
            <v>-2.2204460492503131E-15</v>
          </cell>
          <cell r="W127">
            <v>-2.2204460492503131E-15</v>
          </cell>
          <cell r="X127">
            <v>-2.2204460492503131E-15</v>
          </cell>
          <cell r="Y127">
            <v>-2.2204460492503131E-15</v>
          </cell>
          <cell r="Z127">
            <v>-2.2204460492503131E-15</v>
          </cell>
          <cell r="AA127">
            <v>0</v>
          </cell>
          <cell r="AB127">
            <v>0</v>
          </cell>
          <cell r="AF127">
            <v>0</v>
          </cell>
          <cell r="AH127">
            <v>0</v>
          </cell>
          <cell r="AI127">
            <v>0</v>
          </cell>
          <cell r="AJ127">
            <v>0</v>
          </cell>
          <cell r="AK127">
            <v>0</v>
          </cell>
          <cell r="AL127">
            <v>0</v>
          </cell>
        </row>
        <row r="128">
          <cell r="N128">
            <v>-1.5987211554602254E-14</v>
          </cell>
          <cell r="P128">
            <v>-1.5987211554602254E-14</v>
          </cell>
          <cell r="Q128">
            <v>-1.5987211554602254E-14</v>
          </cell>
          <cell r="R128">
            <v>-1.5987211554602254E-14</v>
          </cell>
          <cell r="S128">
            <v>-1.5987211554602254E-14</v>
          </cell>
          <cell r="T128">
            <v>-1.5987211554602254E-14</v>
          </cell>
          <cell r="U128">
            <v>-1.5987211554602254E-14</v>
          </cell>
          <cell r="V128">
            <v>-1.5987211554602254E-14</v>
          </cell>
          <cell r="W128">
            <v>-1.5987211554602254E-14</v>
          </cell>
          <cell r="X128">
            <v>-1.5987211554602254E-14</v>
          </cell>
          <cell r="Y128">
            <v>-1.5987211554602254E-14</v>
          </cell>
          <cell r="Z128">
            <v>-1.5987211554602254E-14</v>
          </cell>
          <cell r="AA128">
            <v>-1.5987211554602254E-14</v>
          </cell>
          <cell r="AB128">
            <v>-1.5987211554602254E-14</v>
          </cell>
          <cell r="AF128">
            <v>-1.5987211554602254E-14</v>
          </cell>
          <cell r="AH128">
            <v>-1.5987211554602254E-14</v>
          </cell>
          <cell r="AI128">
            <v>-1.5987211554602254E-14</v>
          </cell>
          <cell r="AJ128">
            <v>-1.5987211554602254E-14</v>
          </cell>
          <cell r="AK128">
            <v>-1.5987211554602254E-14</v>
          </cell>
          <cell r="AL128">
            <v>-1.5987211554602254E-14</v>
          </cell>
        </row>
        <row r="129">
          <cell r="N129">
            <v>5.3290705182007514E-15</v>
          </cell>
          <cell r="P129">
            <v>5.3290705182007514E-15</v>
          </cell>
          <cell r="Q129">
            <v>5.3290705182007514E-15</v>
          </cell>
          <cell r="R129">
            <v>5.3290705182007514E-15</v>
          </cell>
          <cell r="S129">
            <v>5.3290705182007514E-15</v>
          </cell>
          <cell r="T129">
            <v>5.3290705182007514E-15</v>
          </cell>
          <cell r="U129">
            <v>5.3290705182007514E-15</v>
          </cell>
          <cell r="V129">
            <v>5.3290705182007514E-15</v>
          </cell>
          <cell r="W129">
            <v>5.3290705182007514E-15</v>
          </cell>
          <cell r="X129">
            <v>5.3290705182007514E-15</v>
          </cell>
          <cell r="Y129">
            <v>5.3290705182007514E-15</v>
          </cell>
          <cell r="Z129">
            <v>5.3290705182007514E-15</v>
          </cell>
          <cell r="AA129">
            <v>5.3290705182007514E-15</v>
          </cell>
          <cell r="AB129">
            <v>5.3290705182007514E-15</v>
          </cell>
          <cell r="AF129">
            <v>5.3290705182007514E-15</v>
          </cell>
          <cell r="AH129">
            <v>5.3290705182007514E-15</v>
          </cell>
          <cell r="AI129">
            <v>5.3290705182007514E-15</v>
          </cell>
          <cell r="AJ129">
            <v>5.3290705182007514E-15</v>
          </cell>
          <cell r="AK129">
            <v>5.3290705182007514E-15</v>
          </cell>
          <cell r="AL129">
            <v>5.3290705182007514E-15</v>
          </cell>
        </row>
        <row r="130">
          <cell r="N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F130">
            <v>0</v>
          </cell>
          <cell r="AH130">
            <v>7.7715611723760958E-16</v>
          </cell>
          <cell r="AI130">
            <v>7.7715611723760958E-16</v>
          </cell>
          <cell r="AJ130">
            <v>7.7715611723760958E-16</v>
          </cell>
          <cell r="AK130">
            <v>7.7715611723760958E-16</v>
          </cell>
          <cell r="AL130">
            <v>7.7715611723760958E-16</v>
          </cell>
        </row>
        <row r="131">
          <cell r="N131">
            <v>0</v>
          </cell>
          <cell r="P131">
            <v>0</v>
          </cell>
          <cell r="Q131">
            <v>0</v>
          </cell>
          <cell r="R131">
            <v>0</v>
          </cell>
          <cell r="S131">
            <v>0</v>
          </cell>
          <cell r="T131">
            <v>0</v>
          </cell>
          <cell r="U131">
            <v>5.773159728050814E-15</v>
          </cell>
          <cell r="V131">
            <v>5.773159728050814E-15</v>
          </cell>
          <cell r="W131">
            <v>5.773159728050814E-15</v>
          </cell>
          <cell r="X131">
            <v>5.773159728050814E-15</v>
          </cell>
          <cell r="Y131">
            <v>5.773159728050814E-15</v>
          </cell>
          <cell r="Z131">
            <v>5.773159728050814E-15</v>
          </cell>
          <cell r="AA131">
            <v>5.773159728050814E-15</v>
          </cell>
          <cell r="AB131">
            <v>5.773159728050814E-15</v>
          </cell>
          <cell r="AF131">
            <v>5.773159728050814E-15</v>
          </cell>
          <cell r="AH131">
            <v>5.773159728050814E-15</v>
          </cell>
          <cell r="AI131">
            <v>5.773159728050814E-15</v>
          </cell>
          <cell r="AJ131">
            <v>5.773159728050814E-15</v>
          </cell>
          <cell r="AK131">
            <v>5.773159728050814E-15</v>
          </cell>
          <cell r="AL131">
            <v>5.773159728050814E-15</v>
          </cell>
        </row>
        <row r="134">
          <cell r="N134">
            <v>0.77377777777777723</v>
          </cell>
          <cell r="P134">
            <v>0.77377777777777723</v>
          </cell>
          <cell r="Q134">
            <v>0.77377777777777723</v>
          </cell>
          <cell r="R134">
            <v>0.77377777777777723</v>
          </cell>
          <cell r="S134">
            <v>0.77377777777777723</v>
          </cell>
          <cell r="T134">
            <v>0.77377777777777723</v>
          </cell>
          <cell r="U134">
            <v>0.77377777777777723</v>
          </cell>
          <cell r="V134">
            <v>0.77377777777777723</v>
          </cell>
          <cell r="W134">
            <v>0.77377777777777723</v>
          </cell>
          <cell r="X134">
            <v>0.77377777777777723</v>
          </cell>
          <cell r="Y134">
            <v>0.77377777777777723</v>
          </cell>
          <cell r="Z134">
            <v>0.77377777777777723</v>
          </cell>
          <cell r="AA134">
            <v>0.77377777777777723</v>
          </cell>
          <cell r="AB134">
            <v>0.77377777777777723</v>
          </cell>
          <cell r="AF134">
            <v>0.77377777777777723</v>
          </cell>
          <cell r="AH134">
            <v>0.77377777777777723</v>
          </cell>
          <cell r="AI134">
            <v>0.77377777777777723</v>
          </cell>
          <cell r="AJ134">
            <v>0.77377777777777723</v>
          </cell>
          <cell r="AK134">
            <v>0.77377777777777723</v>
          </cell>
          <cell r="AL134">
            <v>0.77377777777777723</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 Characteristics"/>
      <sheetName val="Climate Data"/>
      <sheetName val="Energy"/>
      <sheetName val="Sheet1"/>
      <sheetName val="Back-up Energy"/>
      <sheetName val="HC_COP"/>
      <sheetName val="LA12MI EN14511 results vs. SAPQ"/>
      <sheetName val="LA12MI Comparison"/>
      <sheetName val="Bin Capacity comparison"/>
      <sheetName val="Mich's detailed Bin"/>
      <sheetName val="Sheet3"/>
      <sheetName val="HEAT PUMP"/>
      <sheetName val="MIT"/>
      <sheetName val="HP MIT"/>
    </sheetNames>
    <sheetDataSet>
      <sheetData sheetId="0" refreshError="1"/>
      <sheetData sheetId="1">
        <row r="14">
          <cell r="D14">
            <v>12294.022706307569</v>
          </cell>
        </row>
        <row r="15">
          <cell r="D15">
            <v>2124.0972222222226</v>
          </cell>
        </row>
        <row r="19">
          <cell r="E19">
            <v>-5</v>
          </cell>
        </row>
      </sheetData>
      <sheetData sheetId="2"/>
      <sheetData sheetId="3"/>
      <sheetData sheetId="4"/>
      <sheetData sheetId="5"/>
      <sheetData sheetId="6" refreshError="1"/>
      <sheetData sheetId="7" refreshError="1"/>
      <sheetData sheetId="8" refreshError="1"/>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t Pump Tool"/>
      <sheetName val="Zone1"/>
      <sheetName val="Scope"/>
      <sheetName val="ErP Inputs"/>
      <sheetName val="LOW SCOP"/>
      <sheetName val="MEDIUM SCOP"/>
      <sheetName val="HIGH SCOP"/>
      <sheetName val="VERY HIGH SCOP"/>
      <sheetName val="Version Control"/>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13.bin"/><Relationship Id="rId4"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pageSetUpPr fitToPage="1"/>
  </sheetPr>
  <dimension ref="A1:L41"/>
  <sheetViews>
    <sheetView showGridLines="0" tabSelected="1" workbookViewId="0">
      <selection activeCell="D16" sqref="D16"/>
    </sheetView>
  </sheetViews>
  <sheetFormatPr defaultColWidth="9.140625" defaultRowHeight="12.75"/>
  <cols>
    <col min="1" max="1" width="7.28515625" style="138" customWidth="1"/>
    <col min="2" max="2" width="10.140625" style="138" customWidth="1"/>
    <col min="3" max="3" width="10.7109375" style="138" customWidth="1"/>
    <col min="4" max="5" width="9.140625" style="138"/>
    <col min="6" max="6" width="17.140625" style="138" customWidth="1"/>
    <col min="7" max="16384" width="9.140625" style="138"/>
  </cols>
  <sheetData>
    <row r="1" spans="1:12">
      <c r="A1" s="137"/>
      <c r="B1" s="137"/>
      <c r="C1" s="137"/>
      <c r="D1" s="137"/>
      <c r="E1" s="137"/>
      <c r="F1" s="137"/>
      <c r="G1" s="137"/>
      <c r="H1" s="137"/>
      <c r="I1" s="137"/>
      <c r="J1" s="137"/>
      <c r="K1" s="137"/>
      <c r="L1" s="137"/>
    </row>
    <row r="2" spans="1:12">
      <c r="A2" s="137"/>
      <c r="B2" s="137"/>
      <c r="C2" s="137"/>
      <c r="D2" s="137"/>
      <c r="E2" s="137"/>
      <c r="F2" s="137"/>
      <c r="G2" s="137"/>
      <c r="H2" s="137"/>
      <c r="I2" s="137"/>
      <c r="J2" s="137"/>
      <c r="K2" s="137"/>
      <c r="L2" s="137"/>
    </row>
    <row r="3" spans="1:12">
      <c r="A3" s="137"/>
      <c r="B3" s="137"/>
      <c r="C3" s="137"/>
      <c r="D3" s="137"/>
      <c r="E3" s="137"/>
      <c r="F3" s="137"/>
      <c r="G3" s="137"/>
      <c r="H3" s="137"/>
      <c r="I3" s="137"/>
      <c r="J3" s="137"/>
      <c r="K3" s="137"/>
      <c r="L3" s="137"/>
    </row>
    <row r="4" spans="1:12" ht="21.75" customHeight="1">
      <c r="A4" s="137"/>
      <c r="B4" s="137"/>
      <c r="C4" s="139"/>
      <c r="D4" s="139"/>
      <c r="E4" s="139"/>
      <c r="F4" s="139"/>
      <c r="G4" s="137"/>
      <c r="H4" s="139"/>
      <c r="I4" s="139"/>
      <c r="J4" s="139"/>
      <c r="K4" s="139"/>
      <c r="L4" s="139"/>
    </row>
    <row r="5" spans="1:12" ht="26.25">
      <c r="A5" s="137"/>
      <c r="B5" s="137"/>
      <c r="C5" s="140"/>
      <c r="D5" s="140"/>
      <c r="E5" s="140"/>
      <c r="F5" s="141" t="s">
        <v>0</v>
      </c>
      <c r="G5" s="137"/>
      <c r="H5" s="140"/>
      <c r="I5" s="140"/>
      <c r="J5" s="140"/>
      <c r="K5" s="140"/>
      <c r="L5" s="140"/>
    </row>
    <row r="6" spans="1:12" s="145" customFormat="1" ht="18">
      <c r="A6" s="142"/>
      <c r="B6" s="142"/>
      <c r="C6" s="143"/>
      <c r="D6" s="143"/>
      <c r="E6" s="143"/>
      <c r="F6" s="144" t="s">
        <v>1</v>
      </c>
      <c r="G6" s="142"/>
      <c r="H6" s="143"/>
      <c r="I6" s="143"/>
      <c r="J6" s="143"/>
      <c r="K6" s="143"/>
      <c r="L6" s="143"/>
    </row>
    <row r="7" spans="1:12">
      <c r="A7" s="137"/>
      <c r="B7" s="137"/>
      <c r="C7" s="140"/>
      <c r="D7" s="140"/>
      <c r="E7" s="140"/>
      <c r="F7" s="140"/>
      <c r="G7" s="137"/>
      <c r="H7" s="140"/>
      <c r="I7" s="140"/>
      <c r="J7" s="140"/>
      <c r="K7" s="140"/>
      <c r="L7" s="140"/>
    </row>
    <row r="8" spans="1:12" ht="21.75" customHeight="1">
      <c r="A8" s="137"/>
      <c r="B8" s="137"/>
      <c r="C8" s="143"/>
      <c r="D8" s="143"/>
      <c r="E8" s="143"/>
      <c r="F8" s="144" t="s">
        <v>1499</v>
      </c>
      <c r="G8" s="137"/>
      <c r="H8" s="143"/>
      <c r="I8" s="143"/>
      <c r="J8" s="143"/>
      <c r="K8" s="143"/>
      <c r="L8" s="143"/>
    </row>
    <row r="9" spans="1:12" ht="16.5" customHeight="1">
      <c r="A9" s="137"/>
      <c r="B9" s="137"/>
      <c r="C9" s="140"/>
      <c r="D9" s="140"/>
      <c r="E9" s="140"/>
      <c r="F9" s="668" t="s">
        <v>1373</v>
      </c>
      <c r="G9" s="137"/>
      <c r="H9" s="140"/>
      <c r="I9" s="140"/>
      <c r="J9" s="140"/>
      <c r="K9" s="140"/>
      <c r="L9" s="140"/>
    </row>
    <row r="10" spans="1:12" ht="18.75" customHeight="1">
      <c r="A10" s="137"/>
      <c r="B10" s="137"/>
      <c r="C10" s="140"/>
      <c r="D10" s="140"/>
      <c r="E10" s="140"/>
      <c r="F10" s="669" t="s">
        <v>1374</v>
      </c>
      <c r="G10" s="137"/>
      <c r="H10" s="140"/>
      <c r="I10" s="140"/>
      <c r="J10" s="140"/>
      <c r="K10" s="140"/>
      <c r="L10" s="140"/>
    </row>
    <row r="11" spans="1:12">
      <c r="A11" s="137"/>
      <c r="B11" s="137"/>
      <c r="C11" s="140"/>
      <c r="D11" s="140"/>
      <c r="E11" s="140"/>
      <c r="G11" s="137"/>
      <c r="H11" s="140"/>
      <c r="I11" s="140"/>
      <c r="J11" s="140"/>
      <c r="K11" s="140"/>
      <c r="L11" s="140"/>
    </row>
    <row r="12" spans="1:12" ht="15">
      <c r="A12" s="137"/>
      <c r="B12" s="137"/>
      <c r="C12" s="140"/>
      <c r="D12" s="140"/>
      <c r="E12" s="140"/>
      <c r="F12" s="824">
        <v>43647</v>
      </c>
      <c r="G12" s="137"/>
      <c r="H12" s="140"/>
      <c r="I12" s="140"/>
      <c r="J12" s="140"/>
      <c r="K12" s="140"/>
      <c r="L12" s="140"/>
    </row>
    <row r="13" spans="1:12" ht="15.75">
      <c r="A13" s="137"/>
      <c r="B13" s="137"/>
      <c r="C13" s="140"/>
      <c r="D13" s="140"/>
      <c r="E13" s="140"/>
      <c r="F13" s="139"/>
      <c r="G13" s="137"/>
      <c r="H13" s="140"/>
      <c r="I13" s="140"/>
      <c r="J13" s="140"/>
      <c r="K13" s="140"/>
      <c r="L13" s="140"/>
    </row>
    <row r="14" spans="1:12" ht="15.75">
      <c r="A14" s="137"/>
      <c r="B14" s="137"/>
      <c r="C14" s="140"/>
      <c r="D14" s="140"/>
      <c r="E14" s="140"/>
      <c r="F14" s="139"/>
      <c r="G14" s="137"/>
      <c r="H14" s="140"/>
      <c r="I14" s="140"/>
      <c r="J14" s="140"/>
      <c r="K14" s="140"/>
      <c r="L14" s="140"/>
    </row>
    <row r="15" spans="1:12" ht="15.75">
      <c r="A15" s="137"/>
      <c r="B15" s="137"/>
      <c r="C15" s="140" t="s">
        <v>1502</v>
      </c>
      <c r="D15" s="140" t="s">
        <v>1501</v>
      </c>
      <c r="E15" s="140"/>
      <c r="F15" s="139"/>
      <c r="G15" s="137"/>
      <c r="H15" s="140"/>
      <c r="I15" s="140"/>
      <c r="J15" s="140"/>
      <c r="K15" s="140"/>
      <c r="L15" s="140"/>
    </row>
    <row r="16" spans="1:12" ht="15.75">
      <c r="A16" s="137"/>
      <c r="B16" s="137"/>
      <c r="C16" s="140" t="s">
        <v>1500</v>
      </c>
      <c r="D16" s="140" t="s">
        <v>1503</v>
      </c>
      <c r="E16" s="140"/>
      <c r="F16" s="139"/>
      <c r="G16" s="137"/>
      <c r="H16" s="140"/>
      <c r="I16" s="140"/>
      <c r="J16" s="140"/>
      <c r="K16" s="140"/>
      <c r="L16" s="140"/>
    </row>
    <row r="17" spans="1:12" ht="15.75">
      <c r="A17" s="137"/>
      <c r="B17" s="137"/>
      <c r="C17" s="140"/>
      <c r="D17" s="140"/>
      <c r="E17" s="140"/>
      <c r="F17" s="139"/>
      <c r="G17" s="137"/>
      <c r="H17" s="140"/>
      <c r="I17" s="140"/>
      <c r="J17" s="140"/>
      <c r="K17" s="140"/>
      <c r="L17" s="140"/>
    </row>
    <row r="18" spans="1:12" ht="15.75">
      <c r="A18" s="137"/>
      <c r="B18" s="137"/>
      <c r="C18" s="140"/>
      <c r="D18" s="140"/>
      <c r="E18" s="140"/>
      <c r="F18" s="139"/>
      <c r="G18" s="137"/>
      <c r="H18" s="140"/>
      <c r="I18" s="140"/>
      <c r="J18" s="140"/>
      <c r="K18" s="140"/>
      <c r="L18" s="140"/>
    </row>
    <row r="19" spans="1:12" ht="15.75">
      <c r="A19" s="137"/>
      <c r="B19" s="137"/>
      <c r="C19" s="140"/>
      <c r="D19" s="140"/>
      <c r="E19" s="140"/>
      <c r="F19" s="139"/>
      <c r="G19" s="137"/>
      <c r="H19" s="140"/>
      <c r="I19" s="140"/>
      <c r="J19" s="140"/>
      <c r="K19" s="140"/>
      <c r="L19" s="140"/>
    </row>
    <row r="20" spans="1:12" ht="15.75">
      <c r="A20" s="137"/>
      <c r="B20" s="137"/>
      <c r="C20" s="140"/>
      <c r="D20" s="140"/>
      <c r="E20" s="140"/>
      <c r="F20" s="139"/>
      <c r="G20" s="137"/>
      <c r="H20" s="140"/>
      <c r="I20" s="140"/>
      <c r="J20" s="140"/>
      <c r="K20" s="140"/>
      <c r="L20" s="140"/>
    </row>
    <row r="21" spans="1:12" ht="15.75">
      <c r="A21" s="137"/>
      <c r="B21" s="137"/>
      <c r="C21" s="140"/>
      <c r="D21" s="140"/>
      <c r="E21" s="140"/>
      <c r="F21" s="139"/>
      <c r="G21" s="137"/>
      <c r="H21" s="140"/>
      <c r="I21" s="140"/>
      <c r="J21" s="140"/>
      <c r="K21" s="140"/>
      <c r="L21" s="140"/>
    </row>
    <row r="22" spans="1:12" ht="15.75">
      <c r="A22" s="137"/>
      <c r="B22" s="137"/>
      <c r="C22" s="140"/>
      <c r="D22" s="140"/>
      <c r="E22" s="140"/>
      <c r="F22" s="139"/>
      <c r="G22" s="137"/>
      <c r="H22" s="140"/>
      <c r="I22" s="140"/>
      <c r="J22" s="140"/>
      <c r="K22" s="140"/>
      <c r="L22" s="140"/>
    </row>
    <row r="23" spans="1:12" ht="15.75">
      <c r="A23" s="137"/>
      <c r="B23" s="137"/>
      <c r="C23" s="140"/>
      <c r="D23" s="140"/>
      <c r="E23" s="140"/>
      <c r="F23" s="139"/>
      <c r="G23" s="137"/>
      <c r="H23" s="140"/>
      <c r="I23" s="140"/>
      <c r="J23" s="140"/>
      <c r="K23" s="140"/>
      <c r="L23" s="140"/>
    </row>
    <row r="24" spans="1:12" ht="15.75">
      <c r="A24" s="137"/>
      <c r="B24" s="137"/>
      <c r="C24" s="140"/>
      <c r="D24" s="140"/>
      <c r="E24" s="140"/>
      <c r="F24" s="139"/>
      <c r="G24" s="137"/>
      <c r="H24" s="140"/>
      <c r="I24" s="140"/>
      <c r="J24" s="140"/>
      <c r="K24" s="140"/>
      <c r="L24" s="140"/>
    </row>
    <row r="25" spans="1:12" ht="15.75">
      <c r="A25" s="137"/>
      <c r="B25" s="137"/>
      <c r="C25" s="140"/>
      <c r="D25" s="140"/>
      <c r="E25" s="140"/>
      <c r="F25" s="139"/>
      <c r="G25" s="137"/>
      <c r="H25" s="140"/>
      <c r="I25" s="140"/>
      <c r="J25" s="140"/>
      <c r="K25" s="140"/>
      <c r="L25" s="140"/>
    </row>
    <row r="26" spans="1:12" ht="15.75">
      <c r="A26" s="137"/>
      <c r="B26" s="137"/>
      <c r="C26" s="140"/>
      <c r="D26" s="140"/>
      <c r="E26" s="140"/>
      <c r="F26" s="139"/>
      <c r="G26" s="137"/>
      <c r="H26" s="140"/>
      <c r="I26" s="140"/>
      <c r="J26" s="140"/>
      <c r="K26" s="140"/>
      <c r="L26" s="140"/>
    </row>
    <row r="27" spans="1:12" ht="15.75">
      <c r="A27" s="137"/>
      <c r="B27" s="137"/>
      <c r="C27" s="140"/>
      <c r="D27" s="140"/>
      <c r="E27" s="140"/>
      <c r="F27" s="139"/>
      <c r="G27" s="137"/>
      <c r="H27" s="140"/>
      <c r="I27" s="140"/>
      <c r="J27" s="140"/>
      <c r="K27" s="140"/>
      <c r="L27" s="140"/>
    </row>
    <row r="28" spans="1:12" ht="15.75">
      <c r="A28" s="137"/>
      <c r="B28" s="137"/>
      <c r="C28" s="140"/>
      <c r="D28" s="140"/>
      <c r="E28" s="140"/>
      <c r="F28" s="139"/>
      <c r="G28" s="137"/>
      <c r="H28" s="140"/>
      <c r="I28" s="140"/>
      <c r="J28" s="140"/>
      <c r="K28" s="140"/>
      <c r="L28" s="140"/>
    </row>
    <row r="29" spans="1:12" ht="15.75">
      <c r="A29" s="137"/>
      <c r="B29" s="137"/>
      <c r="C29" s="140"/>
      <c r="D29" s="140"/>
      <c r="E29" s="140"/>
      <c r="F29" s="139"/>
      <c r="G29" s="137"/>
      <c r="H29" s="140"/>
      <c r="I29" s="140"/>
      <c r="J29" s="140"/>
      <c r="K29" s="140"/>
      <c r="L29" s="140"/>
    </row>
    <row r="30" spans="1:12" ht="15.75">
      <c r="A30" s="137"/>
      <c r="B30" s="137"/>
      <c r="C30" s="140"/>
      <c r="D30" s="140"/>
      <c r="E30" s="140"/>
      <c r="F30" s="139"/>
      <c r="G30" s="137"/>
      <c r="H30" s="140"/>
      <c r="I30" s="140"/>
      <c r="J30" s="140"/>
      <c r="K30" s="140"/>
      <c r="L30" s="140"/>
    </row>
    <row r="31" spans="1:12" ht="15.75">
      <c r="A31" s="137"/>
      <c r="B31" s="137"/>
      <c r="C31" s="140"/>
      <c r="D31" s="140"/>
      <c r="E31" s="140"/>
      <c r="F31" s="139"/>
      <c r="G31" s="137"/>
      <c r="H31" s="140"/>
      <c r="I31" s="140"/>
      <c r="J31" s="140"/>
      <c r="K31" s="140"/>
      <c r="L31" s="140"/>
    </row>
    <row r="32" spans="1:12" ht="15.75">
      <c r="A32" s="137"/>
      <c r="B32" s="137"/>
      <c r="C32" s="140"/>
      <c r="D32" s="140"/>
      <c r="E32" s="140"/>
      <c r="F32" s="139"/>
      <c r="G32" s="137"/>
      <c r="H32" s="140"/>
      <c r="I32" s="140"/>
      <c r="J32" s="140"/>
      <c r="K32" s="140"/>
      <c r="L32" s="140"/>
    </row>
    <row r="33" spans="1:12" ht="15.75">
      <c r="A33" s="137"/>
      <c r="B33" s="137"/>
      <c r="C33" s="140"/>
      <c r="D33" s="140"/>
      <c r="E33" s="140"/>
      <c r="F33" s="139"/>
      <c r="G33" s="137"/>
      <c r="H33" s="140"/>
      <c r="I33" s="140"/>
      <c r="J33" s="140"/>
      <c r="K33" s="140"/>
      <c r="L33" s="140"/>
    </row>
    <row r="34" spans="1:12" ht="15.75">
      <c r="A34" s="137"/>
      <c r="B34" s="137"/>
      <c r="C34" s="140"/>
      <c r="D34" s="140"/>
      <c r="E34" s="140"/>
      <c r="F34" s="139"/>
      <c r="G34" s="137"/>
      <c r="H34" s="140"/>
      <c r="I34" s="140"/>
      <c r="J34" s="140"/>
      <c r="K34" s="140"/>
      <c r="L34" s="140"/>
    </row>
    <row r="35" spans="1:12" ht="15.75">
      <c r="A35" s="137"/>
      <c r="B35" s="137"/>
      <c r="C35" s="140"/>
      <c r="D35" s="140"/>
      <c r="E35" s="140"/>
      <c r="F35" s="139"/>
      <c r="G35" s="137"/>
      <c r="H35" s="140"/>
      <c r="I35" s="140"/>
      <c r="J35" s="140"/>
      <c r="K35" s="140"/>
      <c r="L35" s="140"/>
    </row>
    <row r="36" spans="1:12">
      <c r="A36" s="137"/>
      <c r="B36" s="137"/>
      <c r="C36" s="137"/>
      <c r="D36" s="137"/>
      <c r="E36" s="137"/>
      <c r="F36" s="137"/>
      <c r="G36" s="137"/>
      <c r="H36" s="137"/>
      <c r="I36" s="137"/>
      <c r="J36" s="137"/>
      <c r="K36" s="137"/>
      <c r="L36" s="137"/>
    </row>
    <row r="37" spans="1:12">
      <c r="A37" s="137"/>
      <c r="B37" s="146"/>
      <c r="C37" s="147"/>
      <c r="D37" s="148"/>
      <c r="E37" s="146"/>
      <c r="F37" s="146"/>
      <c r="G37" s="146"/>
      <c r="H37" s="137"/>
      <c r="I37" s="137"/>
      <c r="J37" s="137"/>
      <c r="K37" s="137"/>
      <c r="L37" s="137"/>
    </row>
    <row r="38" spans="1:12">
      <c r="A38" s="137"/>
      <c r="B38" s="137"/>
      <c r="C38" s="137"/>
      <c r="D38" s="137"/>
      <c r="E38" s="137"/>
      <c r="F38" s="137"/>
      <c r="G38" s="137"/>
      <c r="H38" s="137"/>
      <c r="I38" s="137"/>
      <c r="J38" s="137"/>
      <c r="K38" s="137"/>
      <c r="L38" s="137"/>
    </row>
    <row r="39" spans="1:12">
      <c r="A39" s="137"/>
      <c r="B39" s="137"/>
      <c r="C39" s="137"/>
      <c r="D39" s="137"/>
      <c r="E39" s="137"/>
      <c r="F39" s="137"/>
      <c r="G39" s="137"/>
      <c r="H39" s="137"/>
      <c r="I39" s="137"/>
      <c r="J39" s="137"/>
      <c r="K39" s="137"/>
      <c r="L39" s="137"/>
    </row>
    <row r="40" spans="1:12">
      <c r="A40" s="137"/>
      <c r="B40" s="149"/>
      <c r="C40" s="137"/>
      <c r="D40" s="137"/>
      <c r="E40" s="137"/>
      <c r="F40" s="137"/>
      <c r="G40" s="137"/>
      <c r="H40" s="137"/>
      <c r="I40" s="137"/>
      <c r="J40" s="137"/>
      <c r="K40" s="137"/>
      <c r="L40" s="137"/>
    </row>
    <row r="41" spans="1:12">
      <c r="A41" s="137"/>
      <c r="B41" s="149"/>
      <c r="C41" s="137"/>
      <c r="D41" s="137"/>
      <c r="E41" s="137"/>
      <c r="F41" s="137"/>
      <c r="G41" s="137"/>
      <c r="H41" s="137"/>
      <c r="I41" s="137"/>
      <c r="J41" s="137"/>
      <c r="K41" s="137"/>
      <c r="L41" s="137"/>
    </row>
  </sheetData>
  <sheetProtection algorithmName="SHA-512" hashValue="4DgdDdMpc9MnitbE0FIhGcRotnSLh1X7rmtsL5/pRy6hIPkwmkzm8S+hxYRYxe71y+j74ozvNPmDv4OTpCnVkA==" saltValue="2clImxytjgDwg3u7BCiegQ==" spinCount="100000" sheet="1" objects="1" scenarios="1"/>
  <phoneticPr fontId="0" type="noConversion"/>
  <pageMargins left="0.75" right="0.75" top="0.43" bottom="0.39" header="0.4" footer="0.36"/>
  <pageSetup paperSize="9" scale="8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AF101"/>
  <sheetViews>
    <sheetView workbookViewId="0">
      <selection activeCell="C14" sqref="C14"/>
    </sheetView>
  </sheetViews>
  <sheetFormatPr defaultRowHeight="12.75"/>
  <cols>
    <col min="1" max="1" width="9.85546875" customWidth="1"/>
    <col min="2" max="2" width="16.28515625" customWidth="1"/>
    <col min="16" max="16" width="9.140625" customWidth="1"/>
    <col min="17" max="28" width="9.140625" style="699" customWidth="1"/>
  </cols>
  <sheetData>
    <row r="1" spans="1:32" s="66" customFormat="1" ht="18" customHeight="1">
      <c r="A1" s="23" t="s">
        <v>541</v>
      </c>
      <c r="B1" s="26"/>
      <c r="C1" s="500"/>
      <c r="D1" s="500"/>
      <c r="E1" s="500"/>
      <c r="F1" s="27"/>
      <c r="G1" s="27"/>
      <c r="H1" s="500"/>
      <c r="I1" s="500"/>
      <c r="J1" s="500"/>
      <c r="K1" s="500"/>
      <c r="L1" s="500"/>
      <c r="M1" s="500"/>
      <c r="N1" s="31"/>
      <c r="O1" s="31"/>
      <c r="P1" s="65"/>
      <c r="Q1" s="696" t="s">
        <v>350</v>
      </c>
      <c r="R1" s="717"/>
      <c r="S1" s="717"/>
      <c r="T1" s="717"/>
      <c r="U1" s="717"/>
      <c r="V1" s="717"/>
      <c r="W1" s="717"/>
      <c r="X1" s="717"/>
      <c r="Y1" s="717"/>
      <c r="Z1" s="717"/>
      <c r="AA1" s="717"/>
      <c r="AB1" s="717"/>
    </row>
    <row r="2" spans="1:32" s="1" customFormat="1">
      <c r="A2" s="13" t="s">
        <v>542</v>
      </c>
      <c r="B2" s="14"/>
      <c r="C2" s="14"/>
      <c r="D2" s="14"/>
      <c r="E2" s="14"/>
      <c r="F2" s="14"/>
      <c r="G2" s="14"/>
      <c r="H2" s="30"/>
      <c r="I2" s="30"/>
      <c r="J2" s="30"/>
      <c r="K2" s="30"/>
      <c r="L2" s="30"/>
      <c r="M2" s="30"/>
      <c r="N2" s="30"/>
      <c r="O2" s="30"/>
      <c r="P2" s="30"/>
      <c r="Q2" s="717"/>
      <c r="R2" s="717"/>
      <c r="S2" s="717"/>
      <c r="T2" s="717"/>
      <c r="U2" s="717"/>
      <c r="V2" s="717"/>
      <c r="W2" s="717"/>
      <c r="X2" s="717"/>
      <c r="Y2" s="717"/>
      <c r="Z2" s="717"/>
      <c r="AA2" s="717"/>
      <c r="AB2" s="717"/>
    </row>
    <row r="3" spans="1:32" s="1" customFormat="1">
      <c r="A3" s="36" t="s">
        <v>543</v>
      </c>
      <c r="B3" s="30"/>
      <c r="C3" s="30"/>
      <c r="D3" s="30"/>
      <c r="E3" s="30"/>
      <c r="F3" s="14"/>
      <c r="G3" s="82">
        <v>21</v>
      </c>
      <c r="H3" s="67"/>
      <c r="I3" s="30"/>
      <c r="J3" s="30"/>
      <c r="K3" s="30"/>
      <c r="L3" s="30"/>
      <c r="M3" s="30"/>
      <c r="N3" s="30"/>
      <c r="O3" s="30"/>
      <c r="P3" s="30"/>
      <c r="Q3" s="717"/>
      <c r="R3" s="717"/>
      <c r="S3" s="717"/>
      <c r="T3" s="717"/>
      <c r="U3" s="717"/>
      <c r="V3" s="717"/>
      <c r="W3" s="717"/>
      <c r="X3" s="717"/>
      <c r="Y3" s="717"/>
      <c r="Z3" s="717"/>
      <c r="AA3" s="717"/>
      <c r="AB3" s="717"/>
    </row>
    <row r="4" spans="1:32" s="1" customFormat="1">
      <c r="A4" s="36" t="s">
        <v>544</v>
      </c>
      <c r="B4" s="30"/>
      <c r="C4" s="30"/>
      <c r="D4" s="30"/>
      <c r="E4" s="30"/>
      <c r="F4" s="14"/>
      <c r="G4" s="82">
        <v>18</v>
      </c>
      <c r="H4" s="67"/>
      <c r="I4" s="30"/>
      <c r="J4" s="30"/>
      <c r="K4" s="30"/>
      <c r="L4" s="30"/>
      <c r="M4" s="30"/>
      <c r="N4" s="30"/>
      <c r="O4" s="30"/>
      <c r="P4" s="30"/>
      <c r="Q4" s="717"/>
      <c r="R4" s="717"/>
      <c r="S4" s="717"/>
      <c r="T4" s="717"/>
      <c r="U4" s="717"/>
      <c r="V4" s="717"/>
      <c r="W4" s="717"/>
      <c r="X4" s="717"/>
      <c r="Y4" s="717"/>
      <c r="Z4" s="717"/>
      <c r="AA4" s="717"/>
      <c r="AB4" s="717"/>
      <c r="AF4" s="473" t="s">
        <v>2</v>
      </c>
    </row>
    <row r="5" spans="1:32" s="1" customFormat="1">
      <c r="A5" s="30" t="s">
        <v>545</v>
      </c>
      <c r="B5" s="30"/>
      <c r="C5" s="30"/>
      <c r="D5" s="30"/>
      <c r="E5" s="30"/>
      <c r="F5" s="14"/>
      <c r="G5" s="127">
        <f>Dim!E13</f>
        <v>0.25</v>
      </c>
      <c r="H5" s="67"/>
      <c r="I5" s="30"/>
      <c r="J5" s="30"/>
      <c r="K5" s="30"/>
      <c r="L5" s="30"/>
      <c r="M5" s="30"/>
      <c r="N5" s="30"/>
      <c r="O5" s="30"/>
      <c r="P5" s="30"/>
      <c r="Q5" s="717"/>
      <c r="R5" s="717"/>
      <c r="S5" s="717"/>
      <c r="T5" s="717"/>
      <c r="U5" s="717"/>
      <c r="V5" s="717"/>
      <c r="W5" s="717"/>
      <c r="X5" s="717"/>
      <c r="Y5" s="717"/>
      <c r="Z5" s="717"/>
      <c r="AA5" s="717"/>
      <c r="AB5" s="717"/>
    </row>
    <row r="6" spans="1:32" s="1" customFormat="1">
      <c r="A6" s="36" t="s">
        <v>546</v>
      </c>
      <c r="B6" s="30"/>
      <c r="C6" s="30"/>
      <c r="D6" s="30"/>
      <c r="E6" s="30"/>
      <c r="F6" s="14"/>
      <c r="G6" s="83">
        <f>G5*G3+(1-G5)*G4</f>
        <v>18.75</v>
      </c>
      <c r="H6" s="67"/>
      <c r="I6" s="30"/>
      <c r="J6" s="30"/>
      <c r="K6" s="30"/>
      <c r="L6" s="30"/>
      <c r="M6" s="30"/>
      <c r="N6" s="30"/>
      <c r="O6" s="30"/>
      <c r="P6" s="30"/>
      <c r="Q6" s="717"/>
      <c r="R6" s="717"/>
      <c r="S6" s="717"/>
      <c r="T6" s="717"/>
      <c r="U6" s="717"/>
      <c r="V6" s="717"/>
      <c r="W6" s="717"/>
      <c r="X6" s="717"/>
      <c r="Y6" s="717"/>
      <c r="Z6" s="717"/>
      <c r="AA6" s="717"/>
      <c r="AB6" s="717"/>
    </row>
    <row r="7" spans="1:32" s="1" customFormat="1">
      <c r="A7" s="36"/>
      <c r="B7" s="30"/>
      <c r="C7" s="30"/>
      <c r="D7" s="37"/>
      <c r="E7" s="37"/>
      <c r="F7" s="30"/>
      <c r="G7" s="67"/>
      <c r="H7" s="67"/>
      <c r="I7" s="30"/>
      <c r="J7" s="30"/>
      <c r="K7" s="30"/>
      <c r="L7" s="30"/>
      <c r="M7" s="30"/>
      <c r="N7" s="30"/>
      <c r="O7" s="30"/>
      <c r="P7" s="30"/>
      <c r="Q7" s="717"/>
      <c r="R7" s="717"/>
      <c r="S7" s="717"/>
      <c r="T7" s="717"/>
      <c r="U7" s="717"/>
      <c r="V7" s="717"/>
      <c r="W7" s="717"/>
      <c r="X7" s="717"/>
      <c r="Y7" s="717"/>
      <c r="Z7" s="717"/>
      <c r="AA7" s="717"/>
      <c r="AB7" s="717"/>
    </row>
    <row r="8" spans="1:32" s="1" customFormat="1">
      <c r="A8" s="28" t="s">
        <v>547</v>
      </c>
      <c r="B8" s="174"/>
      <c r="C8" s="174"/>
      <c r="D8" s="174"/>
      <c r="E8" s="174"/>
      <c r="F8" s="174"/>
      <c r="G8" s="508"/>
      <c r="H8" s="508"/>
      <c r="I8" s="14"/>
      <c r="J8" s="14"/>
      <c r="K8" s="30"/>
      <c r="L8" s="30"/>
      <c r="M8" s="30"/>
      <c r="N8" s="30"/>
      <c r="O8" s="30"/>
      <c r="P8" s="30"/>
      <c r="Q8" s="717"/>
      <c r="R8" s="717"/>
      <c r="S8" s="717"/>
      <c r="T8" s="717"/>
      <c r="U8" s="717"/>
      <c r="V8" s="717"/>
      <c r="W8" s="717"/>
      <c r="X8" s="717"/>
      <c r="Y8" s="717"/>
      <c r="Z8" s="717"/>
      <c r="AA8" s="717"/>
      <c r="AB8" s="717"/>
    </row>
    <row r="9" spans="1:32" s="1" customFormat="1">
      <c r="A9" s="216" t="s">
        <v>548</v>
      </c>
      <c r="B9" s="216"/>
      <c r="C9" s="216"/>
      <c r="D9" s="174"/>
      <c r="E9" s="834" t="s">
        <v>549</v>
      </c>
      <c r="F9" s="834"/>
      <c r="G9" s="67"/>
      <c r="H9" s="67"/>
      <c r="I9" s="14"/>
      <c r="J9" s="14"/>
      <c r="K9" s="484"/>
      <c r="L9" s="484"/>
      <c r="M9" s="484"/>
      <c r="N9" s="30"/>
      <c r="O9" s="30"/>
      <c r="P9" s="30"/>
      <c r="Q9" s="718" t="s">
        <v>549</v>
      </c>
      <c r="R9" s="717"/>
      <c r="S9" s="717"/>
      <c r="T9" s="717"/>
      <c r="U9" s="717"/>
      <c r="V9" s="717"/>
      <c r="W9" s="717"/>
      <c r="X9" s="717"/>
      <c r="Y9" s="717"/>
      <c r="Z9" s="717"/>
      <c r="AA9" s="717"/>
      <c r="AB9" s="717"/>
    </row>
    <row r="10" spans="1:32" s="1" customFormat="1">
      <c r="A10" s="30"/>
      <c r="B10" s="30"/>
      <c r="C10" s="30"/>
      <c r="D10" s="30"/>
      <c r="E10" s="30"/>
      <c r="F10" s="30"/>
      <c r="G10" s="74" t="s">
        <v>550</v>
      </c>
      <c r="H10" s="73" t="s">
        <v>551</v>
      </c>
      <c r="I10" s="30"/>
      <c r="J10" s="14"/>
      <c r="K10" s="484"/>
      <c r="L10" s="484"/>
      <c r="M10" s="484"/>
      <c r="N10" s="30"/>
      <c r="O10" s="30"/>
      <c r="P10" s="30"/>
      <c r="Q10" s="718" t="s">
        <v>550</v>
      </c>
      <c r="R10" s="718" t="s">
        <v>551</v>
      </c>
      <c r="S10" s="717"/>
      <c r="T10" s="717"/>
      <c r="U10" s="717"/>
      <c r="V10" s="717"/>
      <c r="W10" s="717"/>
      <c r="X10" s="717"/>
      <c r="Y10" s="717"/>
      <c r="Z10" s="717"/>
      <c r="AA10" s="717"/>
      <c r="AB10" s="717"/>
    </row>
    <row r="11" spans="1:32" s="1" customFormat="1" ht="14.25">
      <c r="A11" s="216" t="s">
        <v>552</v>
      </c>
      <c r="B11" s="216"/>
      <c r="C11" s="216"/>
      <c r="D11" s="174"/>
      <c r="E11" s="524"/>
      <c r="F11" s="216"/>
      <c r="G11" s="572">
        <f>VLOOKUP(E9,A94:E99,4,FALSE)</f>
        <v>0.2</v>
      </c>
      <c r="H11" s="572">
        <f>VLOOKUP(E9,A94:E99,5,FALSE)</f>
        <v>0.11</v>
      </c>
      <c r="I11" s="30"/>
      <c r="J11" s="14"/>
      <c r="K11" s="484"/>
      <c r="L11" s="485"/>
      <c r="M11" s="484"/>
      <c r="N11" s="30"/>
      <c r="O11" s="30"/>
      <c r="P11" s="30"/>
      <c r="Q11" s="719">
        <f>VLOOKUP($Q$9,$A$94:$E$99,4,FALSE)</f>
        <v>0.2</v>
      </c>
      <c r="R11" s="719">
        <f>VLOOKUP($Q$9,$A$94:$E$99,5,FALSE)</f>
        <v>0.11</v>
      </c>
      <c r="S11" s="717"/>
      <c r="T11" s="717"/>
      <c r="U11" s="717"/>
      <c r="V11" s="717"/>
      <c r="W11" s="717"/>
      <c r="X11" s="717"/>
      <c r="Y11" s="717"/>
      <c r="Z11" s="717"/>
      <c r="AA11" s="717"/>
      <c r="AB11" s="717"/>
    </row>
    <row r="12" spans="1:32" s="1" customFormat="1">
      <c r="A12" s="216"/>
      <c r="B12" s="14"/>
      <c r="C12" s="216"/>
      <c r="D12" s="36" t="s">
        <v>553</v>
      </c>
      <c r="E12" s="524"/>
      <c r="F12" s="30"/>
      <c r="G12" s="84">
        <f>G11*tfa</f>
        <v>25.200000000000003</v>
      </c>
      <c r="H12" s="84">
        <f>H11*tfa</f>
        <v>13.86</v>
      </c>
      <c r="I12" s="30"/>
      <c r="J12" s="14"/>
      <c r="K12" s="484"/>
      <c r="L12" s="484"/>
      <c r="M12" s="484"/>
      <c r="N12" s="30"/>
      <c r="O12" s="30"/>
      <c r="P12" s="30"/>
      <c r="Q12" s="720">
        <f>Q11*tfa</f>
        <v>25.200000000000003</v>
      </c>
      <c r="R12" s="720">
        <f>R11*tfa</f>
        <v>13.86</v>
      </c>
      <c r="S12" s="717"/>
      <c r="T12" s="717"/>
      <c r="U12" s="717"/>
      <c r="V12" s="717"/>
      <c r="W12" s="717"/>
      <c r="X12" s="717"/>
      <c r="Y12" s="717"/>
      <c r="Z12" s="717"/>
      <c r="AA12" s="717"/>
      <c r="AB12" s="717"/>
    </row>
    <row r="13" spans="1:32">
      <c r="A13" s="38" t="s">
        <v>554</v>
      </c>
      <c r="B13" s="14"/>
      <c r="C13" s="14"/>
      <c r="D13" s="14"/>
      <c r="E13" s="14"/>
      <c r="F13" s="14"/>
      <c r="G13" s="73"/>
      <c r="H13" s="73"/>
      <c r="I13" s="14"/>
      <c r="J13" s="14"/>
      <c r="K13" s="486"/>
      <c r="L13" s="486"/>
      <c r="M13" s="486"/>
      <c r="N13" s="14"/>
      <c r="O13" s="14"/>
      <c r="P13" s="14"/>
    </row>
    <row r="14" spans="1:32" s="1" customFormat="1">
      <c r="A14" s="216" t="s">
        <v>555</v>
      </c>
      <c r="B14" s="216"/>
      <c r="C14" s="216"/>
      <c r="D14" s="174"/>
      <c r="E14" s="14"/>
      <c r="F14" s="14"/>
      <c r="G14" s="503">
        <f>IF(hlc=0,1,(G12*1000000)/(hlc*3600))</f>
        <v>55.345021710129068</v>
      </c>
      <c r="H14" s="503"/>
      <c r="I14" s="174"/>
      <c r="J14" s="14"/>
      <c r="K14" s="484"/>
      <c r="L14" s="484"/>
      <c r="M14" s="484"/>
      <c r="N14" s="30"/>
      <c r="O14" s="30"/>
      <c r="P14" s="30"/>
      <c r="Q14" s="721">
        <f>(Q12*1000000)/(hlcRef*3600)</f>
        <v>32.287135959161034</v>
      </c>
      <c r="R14" s="717"/>
      <c r="S14" s="717"/>
      <c r="T14" s="717"/>
      <c r="U14" s="717"/>
      <c r="V14" s="717"/>
      <c r="W14" s="717"/>
      <c r="X14" s="717"/>
      <c r="Y14" s="717"/>
      <c r="Z14" s="717"/>
      <c r="AA14" s="717"/>
      <c r="AB14" s="717"/>
    </row>
    <row r="15" spans="1:32" s="1" customFormat="1" ht="14.25">
      <c r="A15" s="36" t="s">
        <v>556</v>
      </c>
      <c r="B15" s="30"/>
      <c r="C15" s="32"/>
      <c r="D15" s="32"/>
      <c r="E15" s="30"/>
      <c r="F15" s="14"/>
      <c r="G15" s="85">
        <v>1</v>
      </c>
      <c r="H15" s="503"/>
      <c r="I15" s="174"/>
      <c r="J15" s="14"/>
      <c r="K15" s="484"/>
      <c r="L15" s="484"/>
      <c r="M15" s="484"/>
      <c r="N15" s="30"/>
      <c r="O15" s="30"/>
      <c r="P15" s="30"/>
      <c r="Q15" s="717"/>
      <c r="R15" s="717"/>
      <c r="S15" s="717"/>
      <c r="T15" s="717"/>
      <c r="U15" s="717"/>
      <c r="V15" s="717"/>
      <c r="W15" s="717"/>
      <c r="X15" s="717"/>
      <c r="Y15" s="717"/>
      <c r="Z15" s="717"/>
      <c r="AA15" s="717"/>
      <c r="AB15" s="717"/>
    </row>
    <row r="16" spans="1:32" s="1" customFormat="1">
      <c r="A16" s="36" t="s">
        <v>557</v>
      </c>
      <c r="B16" s="30"/>
      <c r="C16" s="32"/>
      <c r="D16" s="32"/>
      <c r="E16" s="30"/>
      <c r="F16" s="14"/>
      <c r="G16" s="85">
        <v>15</v>
      </c>
      <c r="H16" s="503"/>
      <c r="I16" s="174"/>
      <c r="J16" s="14"/>
      <c r="K16" s="484"/>
      <c r="L16" s="484"/>
      <c r="M16" s="484"/>
      <c r="N16" s="30"/>
      <c r="O16" s="30"/>
      <c r="P16" s="30"/>
      <c r="Q16" s="717"/>
      <c r="R16" s="717"/>
      <c r="S16" s="717"/>
      <c r="T16" s="717"/>
      <c r="U16" s="717"/>
      <c r="V16" s="717"/>
      <c r="W16" s="717"/>
      <c r="X16" s="717"/>
      <c r="Y16" s="717"/>
      <c r="Z16" s="717"/>
      <c r="AA16" s="717"/>
      <c r="AB16" s="717"/>
    </row>
    <row r="17" spans="1:28" s="1" customFormat="1">
      <c r="A17" s="36" t="s">
        <v>558</v>
      </c>
      <c r="B17" s="30"/>
      <c r="C17" s="30"/>
      <c r="D17" s="37"/>
      <c r="E17" s="30"/>
      <c r="F17" s="14"/>
      <c r="G17" s="86">
        <f>G15+G14/G16</f>
        <v>4.6896681140086045</v>
      </c>
      <c r="H17" s="503"/>
      <c r="I17" s="174"/>
      <c r="J17" s="14"/>
      <c r="K17" s="484"/>
      <c r="L17" s="485"/>
      <c r="M17" s="484"/>
      <c r="N17" s="30"/>
      <c r="O17" s="30"/>
      <c r="P17" s="30"/>
      <c r="Q17" s="722">
        <f>G15+Q14/G16</f>
        <v>3.1524757306107358</v>
      </c>
      <c r="R17" s="717"/>
      <c r="S17" s="717"/>
      <c r="T17" s="717"/>
      <c r="U17" s="717"/>
      <c r="V17" s="717"/>
      <c r="W17" s="717"/>
      <c r="X17" s="717"/>
      <c r="Y17" s="717"/>
      <c r="Z17" s="717"/>
      <c r="AA17" s="717"/>
      <c r="AB17" s="717"/>
    </row>
    <row r="18" spans="1:28" s="1" customFormat="1">
      <c r="A18" s="36"/>
      <c r="B18" s="30"/>
      <c r="C18" s="30"/>
      <c r="D18" s="37"/>
      <c r="E18" s="30"/>
      <c r="F18" s="14"/>
      <c r="G18" s="39"/>
      <c r="H18" s="524"/>
      <c r="I18" s="174"/>
      <c r="J18" s="14"/>
      <c r="K18" s="484"/>
      <c r="L18" s="487"/>
      <c r="M18" s="30"/>
      <c r="N18" s="30"/>
      <c r="O18" s="30"/>
      <c r="P18" s="30"/>
      <c r="Q18" s="717"/>
      <c r="R18" s="717"/>
      <c r="S18" s="717"/>
      <c r="T18" s="717"/>
      <c r="U18" s="717"/>
      <c r="V18" s="717"/>
      <c r="W18" s="717"/>
      <c r="X18" s="717"/>
      <c r="Y18" s="717"/>
      <c r="Z18" s="717"/>
      <c r="AA18" s="717"/>
      <c r="AB18" s="717"/>
    </row>
    <row r="19" spans="1:28" s="1" customFormat="1">
      <c r="A19" s="38" t="s">
        <v>559</v>
      </c>
      <c r="B19" s="216"/>
      <c r="C19" s="216"/>
      <c r="D19" s="174"/>
      <c r="E19" s="14"/>
      <c r="F19" s="14"/>
      <c r="G19" s="524"/>
      <c r="H19" s="524"/>
      <c r="I19" s="174"/>
      <c r="J19" s="14"/>
      <c r="K19" s="484"/>
      <c r="L19" s="487"/>
      <c r="M19" s="30"/>
      <c r="N19" s="30"/>
      <c r="O19" s="30"/>
      <c r="P19" s="30"/>
      <c r="Q19" s="717"/>
      <c r="R19" s="717"/>
      <c r="S19" s="717"/>
      <c r="T19" s="717"/>
      <c r="U19" s="717"/>
      <c r="V19" s="717"/>
      <c r="W19" s="717"/>
      <c r="X19" s="717"/>
      <c r="Y19" s="717"/>
      <c r="Z19" s="717"/>
      <c r="AA19" s="717"/>
      <c r="AB19" s="717"/>
    </row>
    <row r="20" spans="1:28" s="1" customFormat="1">
      <c r="A20" s="216" t="s">
        <v>555</v>
      </c>
      <c r="B20" s="14"/>
      <c r="C20" s="216"/>
      <c r="D20" s="174"/>
      <c r="E20" s="524"/>
      <c r="F20" s="30"/>
      <c r="G20" s="174"/>
      <c r="H20" s="573">
        <f>IF(hlc=0,1,(H12*1000000)/(hlc*3600))</f>
        <v>30.439761940570982</v>
      </c>
      <c r="I20" s="73"/>
      <c r="J20" s="14"/>
      <c r="K20" s="484"/>
      <c r="L20" s="487"/>
      <c r="M20" s="30"/>
      <c r="N20" s="30"/>
      <c r="O20" s="30"/>
      <c r="P20" s="30"/>
      <c r="Q20" s="723">
        <f>(R12*1000000)/(hlcRef*3600)</f>
        <v>17.757924777538566</v>
      </c>
      <c r="R20" s="723"/>
      <c r="S20" s="717"/>
      <c r="T20" s="717"/>
      <c r="U20" s="717"/>
      <c r="V20" s="717"/>
      <c r="W20" s="717"/>
      <c r="X20" s="717"/>
      <c r="Y20" s="717"/>
      <c r="Z20" s="717"/>
      <c r="AA20" s="717"/>
      <c r="AB20" s="717"/>
    </row>
    <row r="21" spans="1:28" s="1" customFormat="1">
      <c r="A21" s="216" t="s">
        <v>560</v>
      </c>
      <c r="B21" s="14"/>
      <c r="C21" s="216"/>
      <c r="D21" s="174"/>
      <c r="E21" s="524"/>
      <c r="F21" s="30"/>
      <c r="G21" s="174"/>
      <c r="H21" s="522">
        <f>HtUse!N77</f>
        <v>7.625</v>
      </c>
      <c r="I21" s="73"/>
      <c r="J21" s="14"/>
      <c r="K21" s="484"/>
      <c r="L21" s="487"/>
      <c r="M21" s="30"/>
      <c r="N21" s="30"/>
      <c r="O21" s="30"/>
      <c r="P21" s="30"/>
      <c r="Q21" s="717"/>
      <c r="R21" s="717"/>
      <c r="S21" s="717"/>
      <c r="T21" s="717"/>
      <c r="U21" s="717"/>
      <c r="V21" s="717"/>
      <c r="W21" s="717"/>
      <c r="X21" s="717"/>
      <c r="Y21" s="717"/>
      <c r="Z21" s="717"/>
      <c r="AA21" s="717"/>
      <c r="AB21" s="717"/>
    </row>
    <row r="22" spans="1:28" s="1" customFormat="1">
      <c r="A22" s="216" t="s">
        <v>561</v>
      </c>
      <c r="B22" s="14"/>
      <c r="C22" s="216"/>
      <c r="D22" s="174"/>
      <c r="E22" s="524"/>
      <c r="F22" s="30"/>
      <c r="G22" s="174"/>
      <c r="H22" s="574">
        <v>8</v>
      </c>
      <c r="I22" s="73"/>
      <c r="J22" s="30"/>
      <c r="K22" s="484"/>
      <c r="L22" s="487"/>
      <c r="M22" s="30"/>
      <c r="N22" s="30"/>
      <c r="O22" s="30"/>
      <c r="P22" s="30"/>
      <c r="Q22" s="717"/>
      <c r="R22" s="717"/>
      <c r="S22" s="717"/>
      <c r="T22" s="717"/>
      <c r="U22" s="717"/>
      <c r="V22" s="717"/>
      <c r="W22" s="717"/>
      <c r="X22" s="717"/>
      <c r="Y22" s="717"/>
      <c r="Z22" s="717"/>
      <c r="AA22" s="717"/>
      <c r="AB22" s="717"/>
    </row>
    <row r="23" spans="1:28" s="1" customFormat="1">
      <c r="A23" s="216" t="s">
        <v>562</v>
      </c>
      <c r="B23" s="14"/>
      <c r="C23" s="216"/>
      <c r="D23" s="174"/>
      <c r="E23" s="524"/>
      <c r="F23" s="30"/>
      <c r="G23" s="174"/>
      <c r="H23" s="574">
        <v>14</v>
      </c>
      <c r="I23" s="73"/>
      <c r="J23" s="30"/>
      <c r="K23" s="484"/>
      <c r="L23" s="487"/>
      <c r="M23" s="30"/>
      <c r="N23" s="30"/>
      <c r="O23" s="30"/>
      <c r="P23" s="30"/>
      <c r="Q23" s="717"/>
      <c r="R23" s="717"/>
      <c r="S23" s="717"/>
      <c r="T23" s="717"/>
      <c r="U23" s="717"/>
      <c r="V23" s="717"/>
      <c r="W23" s="717"/>
      <c r="X23" s="717"/>
      <c r="Y23" s="717"/>
      <c r="Z23" s="717"/>
      <c r="AA23" s="717"/>
      <c r="AB23" s="717"/>
    </row>
    <row r="24" spans="1:28" s="1" customFormat="1">
      <c r="A24" s="216"/>
      <c r="B24" s="14"/>
      <c r="C24" s="216"/>
      <c r="D24" s="174"/>
      <c r="E24" s="524"/>
      <c r="F24" s="30"/>
      <c r="G24" s="174"/>
      <c r="H24" s="522" t="s">
        <v>563</v>
      </c>
      <c r="I24" s="73" t="s">
        <v>564</v>
      </c>
      <c r="J24" s="30"/>
      <c r="K24" s="484"/>
      <c r="L24" s="487"/>
      <c r="M24" s="30"/>
      <c r="N24" s="30"/>
      <c r="O24" s="30"/>
      <c r="P24" s="30"/>
      <c r="Q24" s="717"/>
      <c r="R24" s="717"/>
      <c r="S24" s="717"/>
      <c r="T24" s="717"/>
      <c r="U24" s="717"/>
      <c r="V24" s="717"/>
      <c r="W24" s="717"/>
      <c r="X24" s="717"/>
      <c r="Y24" s="717"/>
      <c r="Z24" s="717"/>
      <c r="AA24" s="717"/>
      <c r="AB24" s="717"/>
    </row>
    <row r="25" spans="1:28" s="1" customFormat="1">
      <c r="A25" s="216" t="s">
        <v>565</v>
      </c>
      <c r="B25" s="14"/>
      <c r="C25" s="216"/>
      <c r="D25" s="174"/>
      <c r="E25" s="524"/>
      <c r="F25" s="30"/>
      <c r="G25" s="174"/>
      <c r="H25" s="575">
        <f>H22*H23</f>
        <v>112</v>
      </c>
      <c r="I25" s="73">
        <f>168-H25</f>
        <v>56</v>
      </c>
      <c r="J25" s="30"/>
      <c r="K25" s="30"/>
      <c r="L25" s="30"/>
      <c r="M25" s="30"/>
      <c r="N25" s="30"/>
      <c r="O25" s="30"/>
      <c r="P25" s="30"/>
      <c r="Q25" s="717"/>
      <c r="R25" s="717"/>
      <c r="S25" s="717"/>
      <c r="T25" s="717"/>
      <c r="U25" s="717"/>
      <c r="V25" s="717"/>
      <c r="W25" s="717"/>
      <c r="X25" s="717"/>
      <c r="Y25" s="717"/>
      <c r="Z25" s="717"/>
      <c r="AA25" s="717"/>
      <c r="AB25" s="717"/>
    </row>
    <row r="26" spans="1:28" s="1" customFormat="1">
      <c r="A26" s="14" t="s">
        <v>566</v>
      </c>
      <c r="B26" s="174"/>
      <c r="C26" s="174"/>
      <c r="D26" s="174"/>
      <c r="E26" s="174"/>
      <c r="F26" s="174"/>
      <c r="G26" s="174"/>
      <c r="H26" s="576">
        <f>(H12)*(G6-Tem)*(1-EXP(-H22/H20))</f>
        <v>35.636232738492929</v>
      </c>
      <c r="I26" s="577"/>
      <c r="J26" s="14"/>
      <c r="K26" s="30"/>
      <c r="L26" s="30"/>
      <c r="M26" s="30"/>
      <c r="N26" s="30"/>
      <c r="O26" s="30"/>
      <c r="P26" s="30"/>
      <c r="Q26" s="724">
        <f>(R12*1000000)*(G6-Tem)*(1-EXP(-H22/Q20))</f>
        <v>55924471.418538339</v>
      </c>
      <c r="R26" s="724"/>
      <c r="S26" s="717"/>
      <c r="T26" s="717"/>
      <c r="U26" s="717"/>
      <c r="V26" s="717"/>
      <c r="W26" s="717"/>
      <c r="X26" s="717"/>
      <c r="Y26" s="717"/>
      <c r="Z26" s="717"/>
      <c r="AA26" s="717"/>
      <c r="AB26" s="717"/>
    </row>
    <row r="27" spans="1:28" s="1" customFormat="1">
      <c r="A27" s="14" t="s">
        <v>567</v>
      </c>
      <c r="B27" s="174"/>
      <c r="C27" s="174"/>
      <c r="D27" s="174"/>
      <c r="E27" s="174"/>
      <c r="F27" s="174"/>
      <c r="G27" s="174"/>
      <c r="H27" s="578">
        <f>IF(hlc=0,0,Tem+H26*1000000/(hlc*H22*3600))</f>
        <v>17.408174973110629</v>
      </c>
      <c r="I27" s="579"/>
      <c r="J27" s="40"/>
      <c r="K27" s="32"/>
      <c r="L27" s="32"/>
      <c r="M27" s="32"/>
      <c r="N27" s="32"/>
      <c r="O27" s="32"/>
      <c r="P27" s="32"/>
      <c r="Q27" s="725">
        <f>Tem+Q26/(hlcRef*H22*3600)</f>
        <v>16.581552639556364</v>
      </c>
      <c r="R27" s="725"/>
      <c r="S27" s="717"/>
      <c r="T27" s="717"/>
      <c r="U27" s="717"/>
      <c r="V27" s="717"/>
      <c r="W27" s="717"/>
      <c r="X27" s="717"/>
      <c r="Y27" s="717"/>
      <c r="Z27" s="717"/>
      <c r="AA27" s="717"/>
      <c r="AB27" s="717"/>
    </row>
    <row r="28" spans="1:28" s="1" customFormat="1">
      <c r="A28" s="14" t="s">
        <v>568</v>
      </c>
      <c r="B28" s="174"/>
      <c r="C28" s="174"/>
      <c r="D28" s="174"/>
      <c r="E28" s="174"/>
      <c r="F28" s="174"/>
      <c r="G28" s="174"/>
      <c r="H28" s="578">
        <f>(H25*H27+I25*G6)/168</f>
        <v>17.855449982073754</v>
      </c>
      <c r="I28" s="87"/>
      <c r="J28" s="40"/>
      <c r="K28" s="32"/>
      <c r="L28" s="32"/>
      <c r="M28" s="32"/>
      <c r="N28" s="32"/>
      <c r="O28" s="32"/>
      <c r="P28" s="32"/>
      <c r="Q28" s="725">
        <f>(H25*Q27+I25*G6)/168</f>
        <v>17.304368426370907</v>
      </c>
      <c r="R28" s="717"/>
      <c r="S28" s="717"/>
      <c r="T28" s="717"/>
      <c r="U28" s="717"/>
      <c r="V28" s="717"/>
      <c r="W28" s="717"/>
      <c r="X28" s="717"/>
      <c r="Y28" s="717"/>
      <c r="Z28" s="717"/>
      <c r="AA28" s="717"/>
      <c r="AB28" s="717"/>
    </row>
    <row r="29" spans="1:28" s="1" customFormat="1">
      <c r="A29" s="14" t="s">
        <v>569</v>
      </c>
      <c r="B29" s="174"/>
      <c r="C29" s="174"/>
      <c r="D29" s="174"/>
      <c r="E29" s="174"/>
      <c r="F29" s="174"/>
      <c r="G29" s="174"/>
      <c r="H29" s="580">
        <f>(H28-Tem)/(G6-Tem)</f>
        <v>0.91959100962460705</v>
      </c>
      <c r="I29" s="73"/>
      <c r="J29" s="14"/>
      <c r="K29" s="30"/>
      <c r="L29" s="30"/>
      <c r="M29" s="30"/>
      <c r="N29" s="30"/>
      <c r="O29" s="30"/>
      <c r="P29" s="30"/>
      <c r="Q29" s="726">
        <f>(Q28-Tem)/(G6-Tem)</f>
        <v>0.87005558888727252</v>
      </c>
      <c r="R29" s="717"/>
      <c r="S29" s="717"/>
      <c r="T29" s="717"/>
      <c r="U29" s="717"/>
      <c r="V29" s="717"/>
      <c r="W29" s="717"/>
      <c r="X29" s="717"/>
      <c r="Y29" s="717"/>
      <c r="Z29" s="717"/>
      <c r="AA29" s="717"/>
      <c r="AB29" s="717"/>
    </row>
    <row r="30" spans="1:28" s="1" customFormat="1">
      <c r="A30" s="14"/>
      <c r="B30" s="174"/>
      <c r="C30" s="174"/>
      <c r="D30" s="174"/>
      <c r="E30" s="174"/>
      <c r="F30" s="174"/>
      <c r="G30" s="174"/>
      <c r="H30" s="174"/>
      <c r="I30" s="14"/>
      <c r="J30" s="14"/>
      <c r="K30" s="30"/>
      <c r="L30" s="30"/>
      <c r="M30" s="30"/>
      <c r="N30" s="30"/>
      <c r="O30" s="30"/>
      <c r="P30" s="30"/>
      <c r="Q30" s="717"/>
      <c r="R30" s="717"/>
      <c r="S30" s="717"/>
      <c r="T30" s="717"/>
      <c r="U30" s="717"/>
      <c r="V30" s="717"/>
      <c r="W30" s="717"/>
      <c r="X30" s="717"/>
      <c r="Y30" s="717"/>
      <c r="Z30" s="717"/>
      <c r="AA30" s="717"/>
      <c r="AB30" s="717"/>
    </row>
    <row r="31" spans="1:28" s="1" customFormat="1">
      <c r="A31" s="41" t="s">
        <v>570</v>
      </c>
      <c r="B31" s="30"/>
      <c r="C31" s="30"/>
      <c r="D31" s="37"/>
      <c r="E31" s="37"/>
      <c r="F31" s="30"/>
      <c r="G31" s="30"/>
      <c r="H31" s="30"/>
      <c r="I31" s="30"/>
      <c r="J31" s="30"/>
      <c r="K31" s="30"/>
      <c r="L31" s="30"/>
      <c r="M31" s="30"/>
      <c r="N31" s="30"/>
      <c r="O31" s="36" t="s">
        <v>571</v>
      </c>
      <c r="P31" s="30"/>
      <c r="Q31" s="717"/>
      <c r="R31" s="717"/>
      <c r="S31" s="717"/>
      <c r="T31" s="717"/>
      <c r="U31" s="717"/>
      <c r="V31" s="717"/>
      <c r="W31" s="717"/>
      <c r="X31" s="717"/>
      <c r="Y31" s="717"/>
      <c r="Z31" s="717"/>
      <c r="AA31" s="717"/>
      <c r="AB31" s="717"/>
    </row>
    <row r="32" spans="1:28" s="1" customFormat="1">
      <c r="A32" s="216" t="s">
        <v>572</v>
      </c>
      <c r="B32" s="30"/>
      <c r="C32" s="89" t="s">
        <v>468</v>
      </c>
      <c r="D32" s="89" t="s">
        <v>469</v>
      </c>
      <c r="E32" s="89" t="s">
        <v>470</v>
      </c>
      <c r="F32" s="89" t="s">
        <v>471</v>
      </c>
      <c r="G32" s="89" t="s">
        <v>472</v>
      </c>
      <c r="H32" s="89" t="s">
        <v>473</v>
      </c>
      <c r="I32" s="89" t="s">
        <v>474</v>
      </c>
      <c r="J32" s="89" t="s">
        <v>475</v>
      </c>
      <c r="K32" s="89" t="s">
        <v>476</v>
      </c>
      <c r="L32" s="89" t="s">
        <v>477</v>
      </c>
      <c r="M32" s="89" t="s">
        <v>478</v>
      </c>
      <c r="N32" s="89" t="s">
        <v>479</v>
      </c>
      <c r="O32" s="74" t="s">
        <v>573</v>
      </c>
      <c r="P32" s="36"/>
      <c r="Q32" s="727" t="s">
        <v>468</v>
      </c>
      <c r="R32" s="727" t="s">
        <v>469</v>
      </c>
      <c r="S32" s="727" t="s">
        <v>470</v>
      </c>
      <c r="T32" s="727" t="s">
        <v>471</v>
      </c>
      <c r="U32" s="727" t="s">
        <v>472</v>
      </c>
      <c r="V32" s="727" t="s">
        <v>473</v>
      </c>
      <c r="W32" s="727" t="s">
        <v>474</v>
      </c>
      <c r="X32" s="727" t="s">
        <v>475</v>
      </c>
      <c r="Y32" s="727" t="s">
        <v>476</v>
      </c>
      <c r="Z32" s="727" t="s">
        <v>477</v>
      </c>
      <c r="AA32" s="727" t="s">
        <v>478</v>
      </c>
      <c r="AB32" s="727" t="s">
        <v>479</v>
      </c>
    </row>
    <row r="33" spans="1:28" s="1" customFormat="1">
      <c r="A33" s="216" t="s">
        <v>202</v>
      </c>
      <c r="B33" s="30"/>
      <c r="C33" s="217"/>
      <c r="D33" s="217"/>
      <c r="E33" s="217"/>
      <c r="F33" s="217"/>
      <c r="G33" s="217"/>
      <c r="H33" s="217"/>
      <c r="I33" s="217"/>
      <c r="J33" s="217"/>
      <c r="K33" s="475"/>
      <c r="L33" s="475"/>
      <c r="M33" s="475"/>
      <c r="N33" s="475"/>
      <c r="O33" s="67"/>
      <c r="P33" s="30"/>
      <c r="Q33" s="717"/>
      <c r="R33" s="717"/>
      <c r="S33" s="717"/>
      <c r="T33" s="717"/>
      <c r="U33" s="717"/>
      <c r="V33" s="717"/>
      <c r="W33" s="717"/>
      <c r="X33" s="717"/>
      <c r="Y33" s="717"/>
      <c r="Z33" s="717"/>
      <c r="AA33" s="717"/>
      <c r="AB33" s="717"/>
    </row>
    <row r="34" spans="1:28" s="1" customFormat="1">
      <c r="A34" s="216" t="s">
        <v>205</v>
      </c>
      <c r="B34" s="30"/>
      <c r="C34" s="510">
        <f>Win!$F33*B82</f>
        <v>7.0727580000000012E-2</v>
      </c>
      <c r="D34" s="510">
        <f>Win!$F33*C82</f>
        <v>0.13359654000000001</v>
      </c>
      <c r="E34" s="510">
        <f>Win!$F33*D82</f>
        <v>0.23837814000000002</v>
      </c>
      <c r="F34" s="510">
        <f>Win!$F33*E82</f>
        <v>0.35625744000000004</v>
      </c>
      <c r="G34" s="510">
        <f>Win!$F33*F82</f>
        <v>0.49509306000000003</v>
      </c>
      <c r="H34" s="510">
        <f>Win!$F33*G82</f>
        <v>0.55534248000000008</v>
      </c>
      <c r="I34" s="510">
        <f>Win!$F33*H82</f>
        <v>0.50819076000000007</v>
      </c>
      <c r="J34" s="510">
        <f>Win!$F33*I82</f>
        <v>0.41126778000000003</v>
      </c>
      <c r="K34" s="510">
        <f>Win!$F33*J82</f>
        <v>0.27767124000000004</v>
      </c>
      <c r="L34" s="510">
        <f>Win!$F33*K82</f>
        <v>0.15979194000000002</v>
      </c>
      <c r="M34" s="510">
        <f>Win!$F33*L82</f>
        <v>8.6444820000000006E-2</v>
      </c>
      <c r="N34" s="510">
        <f>Win!$F33*M82</f>
        <v>5.2390800000000008E-2</v>
      </c>
      <c r="O34" s="67"/>
      <c r="P34" s="30"/>
      <c r="Q34" s="717"/>
      <c r="R34" s="717"/>
      <c r="S34" s="717"/>
      <c r="T34" s="717"/>
      <c r="U34" s="717"/>
      <c r="V34" s="717"/>
      <c r="W34" s="717"/>
      <c r="X34" s="717"/>
      <c r="Y34" s="717"/>
      <c r="Z34" s="717"/>
      <c r="AA34" s="717"/>
      <c r="AB34" s="717"/>
    </row>
    <row r="35" spans="1:28" s="1" customFormat="1">
      <c r="A35" s="216" t="s">
        <v>233</v>
      </c>
      <c r="B35" s="30"/>
      <c r="C35" s="510">
        <f>Win!$F34*B83</f>
        <v>0</v>
      </c>
      <c r="D35" s="510">
        <f>Win!$F34*C83</f>
        <v>0</v>
      </c>
      <c r="E35" s="510">
        <f>Win!$F34*D83</f>
        <v>0</v>
      </c>
      <c r="F35" s="510">
        <f>Win!$F34*E83</f>
        <v>0</v>
      </c>
      <c r="G35" s="510">
        <f>Win!$F34*F83</f>
        <v>0</v>
      </c>
      <c r="H35" s="510">
        <f>Win!$F34*G83</f>
        <v>0</v>
      </c>
      <c r="I35" s="510">
        <f>Win!$F34*H83</f>
        <v>0</v>
      </c>
      <c r="J35" s="510">
        <f>Win!$F34*I83</f>
        <v>0</v>
      </c>
      <c r="K35" s="510">
        <f>Win!$F34*J83</f>
        <v>0</v>
      </c>
      <c r="L35" s="510">
        <f>Win!$F34*K83</f>
        <v>0</v>
      </c>
      <c r="M35" s="510">
        <f>Win!$F34*L83</f>
        <v>0</v>
      </c>
      <c r="N35" s="510">
        <f>Win!$F34*M83</f>
        <v>0</v>
      </c>
      <c r="O35" s="67"/>
      <c r="P35" s="30"/>
      <c r="Q35" s="717"/>
      <c r="R35" s="717"/>
      <c r="S35" s="717"/>
      <c r="T35" s="717"/>
      <c r="U35" s="717"/>
      <c r="V35" s="717"/>
      <c r="W35" s="717"/>
      <c r="X35" s="717"/>
      <c r="Y35" s="717"/>
      <c r="Z35" s="717"/>
      <c r="AA35" s="717"/>
      <c r="AB35" s="717"/>
    </row>
    <row r="36" spans="1:28" s="1" customFormat="1">
      <c r="A36" s="216" t="s">
        <v>574</v>
      </c>
      <c r="B36" s="30"/>
      <c r="C36" s="510">
        <f>Win!$F35*B84</f>
        <v>3.6755056799999992</v>
      </c>
      <c r="D36" s="510">
        <f>Win!$F35*C84</f>
        <v>7.3510113599999984</v>
      </c>
      <c r="E36" s="510">
        <f>Win!$F35*D84</f>
        <v>12.613667219999998</v>
      </c>
      <c r="F36" s="510">
        <f>Win!$F35*E84</f>
        <v>18.711665279999998</v>
      </c>
      <c r="G36" s="510">
        <f>Win!$F35*F84</f>
        <v>24.057855359999994</v>
      </c>
      <c r="H36" s="510">
        <f>Win!$F35*G84</f>
        <v>24.224923799999996</v>
      </c>
      <c r="I36" s="510">
        <f>Win!$F35*H84</f>
        <v>22.387170959999995</v>
      </c>
      <c r="J36" s="510">
        <f>Win!$F35*I84</f>
        <v>20.382349679999997</v>
      </c>
      <c r="K36" s="510">
        <f>Win!$F35*J84</f>
        <v>15.620899139999997</v>
      </c>
      <c r="L36" s="510">
        <f>Win!$F35*K84</f>
        <v>9.8570379599999978</v>
      </c>
      <c r="M36" s="510">
        <f>Win!$F35*L84</f>
        <v>4.6779163199999996</v>
      </c>
      <c r="N36" s="510">
        <f>Win!$F35*M84</f>
        <v>3.0907661399999995</v>
      </c>
      <c r="O36" s="67"/>
      <c r="P36" s="30"/>
      <c r="Q36" s="702">
        <f>Win!$P35*B84</f>
        <v>4.5566025119999995</v>
      </c>
      <c r="R36" s="702">
        <f>Win!$P35*C84</f>
        <v>9.1132050239999991</v>
      </c>
      <c r="S36" s="702">
        <f>Win!$P35*D84</f>
        <v>15.637431347999998</v>
      </c>
      <c r="T36" s="702">
        <f>Win!$P35*E84</f>
        <v>23.197249152000001</v>
      </c>
      <c r="U36" s="702">
        <f>Win!$P35*F84</f>
        <v>29.825034623999997</v>
      </c>
      <c r="V36" s="702"/>
      <c r="W36" s="702"/>
      <c r="X36" s="702"/>
      <c r="Y36" s="702"/>
      <c r="Z36" s="702">
        <f>Win!$P35*K84</f>
        <v>12.219979463999998</v>
      </c>
      <c r="AA36" s="702">
        <f>Win!$P35*L84</f>
        <v>5.7993122880000003</v>
      </c>
      <c r="AB36" s="702">
        <f>Win!$P35*M84</f>
        <v>3.8316884759999996</v>
      </c>
    </row>
    <row r="37" spans="1:28" s="1" customFormat="1">
      <c r="A37" s="216" t="s">
        <v>206</v>
      </c>
      <c r="B37" s="30"/>
      <c r="C37" s="510">
        <f>Win!$F36*B85</f>
        <v>0</v>
      </c>
      <c r="D37" s="510">
        <f>Win!$F36*C85</f>
        <v>0</v>
      </c>
      <c r="E37" s="510">
        <f>Win!$F36*D85</f>
        <v>0</v>
      </c>
      <c r="F37" s="510">
        <f>Win!$F36*E85</f>
        <v>0</v>
      </c>
      <c r="G37" s="510">
        <f>Win!$F36*F85</f>
        <v>0</v>
      </c>
      <c r="H37" s="510">
        <f>Win!$F36*G85</f>
        <v>0</v>
      </c>
      <c r="I37" s="510">
        <f>Win!$F36*H85</f>
        <v>0</v>
      </c>
      <c r="J37" s="510">
        <f>Win!$F36*I85</f>
        <v>0</v>
      </c>
      <c r="K37" s="510">
        <f>Win!$F36*J85</f>
        <v>0</v>
      </c>
      <c r="L37" s="510">
        <f>Win!$F36*K85</f>
        <v>0</v>
      </c>
      <c r="M37" s="510">
        <f>Win!$F36*L85</f>
        <v>0</v>
      </c>
      <c r="N37" s="510">
        <f>Win!$F36*M85</f>
        <v>0</v>
      </c>
      <c r="O37" s="67"/>
      <c r="P37" s="30"/>
      <c r="Q37" s="717"/>
      <c r="R37" s="717"/>
      <c r="S37" s="717"/>
      <c r="T37" s="717"/>
      <c r="U37" s="717"/>
      <c r="V37" s="717"/>
      <c r="W37" s="717"/>
      <c r="X37" s="717"/>
      <c r="Y37" s="717"/>
      <c r="Z37" s="717"/>
      <c r="AA37" s="717"/>
      <c r="AB37" s="717"/>
    </row>
    <row r="38" spans="1:28" s="1" customFormat="1">
      <c r="A38" s="216" t="s">
        <v>204</v>
      </c>
      <c r="B38" s="30"/>
      <c r="C38" s="510">
        <f>Win!$F37*B86</f>
        <v>0</v>
      </c>
      <c r="D38" s="510">
        <f>Win!$F37*C86</f>
        <v>0</v>
      </c>
      <c r="E38" s="510">
        <f>Win!$F37*D86</f>
        <v>0</v>
      </c>
      <c r="F38" s="510">
        <f>Win!$F37*E86</f>
        <v>0</v>
      </c>
      <c r="G38" s="510">
        <f>Win!$F37*F86</f>
        <v>0</v>
      </c>
      <c r="H38" s="510">
        <f>Win!$F37*G86</f>
        <v>0</v>
      </c>
      <c r="I38" s="510">
        <f>Win!$F37*H86</f>
        <v>0</v>
      </c>
      <c r="J38" s="510">
        <f>Win!$F37*I86</f>
        <v>0</v>
      </c>
      <c r="K38" s="510">
        <f>Win!$F37*J86</f>
        <v>0</v>
      </c>
      <c r="L38" s="510">
        <f>Win!$F37*K86</f>
        <v>0</v>
      </c>
      <c r="M38" s="510">
        <f>Win!$F37*L86</f>
        <v>0</v>
      </c>
      <c r="N38" s="510">
        <f>Win!$F37*M86</f>
        <v>0</v>
      </c>
      <c r="O38" s="67"/>
      <c r="P38" s="30"/>
      <c r="Q38" s="717"/>
      <c r="R38" s="717"/>
      <c r="S38" s="717"/>
      <c r="T38" s="717"/>
      <c r="U38" s="717"/>
      <c r="V38" s="717"/>
      <c r="W38" s="717"/>
      <c r="X38" s="717"/>
      <c r="Y38" s="717"/>
      <c r="Z38" s="717"/>
      <c r="AA38" s="717"/>
      <c r="AB38" s="717"/>
    </row>
    <row r="39" spans="1:28" s="1" customFormat="1">
      <c r="A39" s="216" t="s">
        <v>575</v>
      </c>
      <c r="B39" s="30"/>
      <c r="C39" s="510">
        <f>Win!$F38*B87</f>
        <v>0</v>
      </c>
      <c r="D39" s="510">
        <f>Win!$F38*C87</f>
        <v>0</v>
      </c>
      <c r="E39" s="510">
        <f>Win!$F38*D87</f>
        <v>0</v>
      </c>
      <c r="F39" s="510">
        <f>Win!$F38*E87</f>
        <v>0</v>
      </c>
      <c r="G39" s="510">
        <f>Win!$F38*F87</f>
        <v>0</v>
      </c>
      <c r="H39" s="510">
        <f>Win!$F38*G87</f>
        <v>0</v>
      </c>
      <c r="I39" s="510">
        <f>Win!$F38*H87</f>
        <v>0</v>
      </c>
      <c r="J39" s="510">
        <f>Win!$F38*I87</f>
        <v>0</v>
      </c>
      <c r="K39" s="510">
        <f>Win!$F38*J87</f>
        <v>0</v>
      </c>
      <c r="L39" s="510">
        <f>Win!$F38*K87</f>
        <v>0</v>
      </c>
      <c r="M39" s="510">
        <f>Win!$F38*L87</f>
        <v>0</v>
      </c>
      <c r="N39" s="510">
        <f>Win!$F38*M87</f>
        <v>0</v>
      </c>
      <c r="O39" s="67"/>
      <c r="P39" s="30"/>
      <c r="Q39" s="717"/>
      <c r="R39" s="717"/>
      <c r="S39" s="717"/>
      <c r="T39" s="717"/>
      <c r="U39" s="717"/>
      <c r="V39" s="717"/>
      <c r="W39" s="717"/>
      <c r="X39" s="717"/>
      <c r="Y39" s="717"/>
      <c r="Z39" s="717"/>
      <c r="AA39" s="717"/>
      <c r="AB39" s="717"/>
    </row>
    <row r="40" spans="1:28" s="1" customFormat="1">
      <c r="A40" s="216"/>
      <c r="B40" s="507"/>
      <c r="C40" s="217"/>
      <c r="D40" s="217"/>
      <c r="E40" s="217"/>
      <c r="F40" s="217"/>
      <c r="G40" s="217"/>
      <c r="H40" s="217"/>
      <c r="I40" s="217"/>
      <c r="J40" s="217"/>
      <c r="K40" s="475"/>
      <c r="L40" s="475"/>
      <c r="M40" s="475"/>
      <c r="N40" s="475"/>
      <c r="O40" s="67"/>
      <c r="P40" s="30"/>
      <c r="Q40" s="717"/>
      <c r="R40" s="717"/>
      <c r="S40" s="717"/>
      <c r="T40" s="717"/>
      <c r="U40" s="717"/>
      <c r="V40" s="717"/>
      <c r="W40" s="717"/>
      <c r="X40" s="717"/>
      <c r="Y40" s="717"/>
      <c r="Z40" s="717"/>
      <c r="AA40" s="717"/>
      <c r="AB40" s="717"/>
    </row>
    <row r="41" spans="1:28" s="1" customFormat="1">
      <c r="A41" s="216" t="s">
        <v>576</v>
      </c>
      <c r="B41" s="174"/>
      <c r="C41" s="581">
        <f>SUM(C34:C39)</f>
        <v>3.7462332599999995</v>
      </c>
      <c r="D41" s="581">
        <f t="shared" ref="D41:N41" si="0">SUM(D34:D39)</f>
        <v>7.4846078999999985</v>
      </c>
      <c r="E41" s="581">
        <f t="shared" si="0"/>
        <v>12.852045359999998</v>
      </c>
      <c r="F41" s="581">
        <f t="shared" si="0"/>
        <v>19.067922719999999</v>
      </c>
      <c r="G41" s="581">
        <f t="shared" si="0"/>
        <v>24.552948419999993</v>
      </c>
      <c r="H41" s="581">
        <f t="shared" si="0"/>
        <v>24.780266279999996</v>
      </c>
      <c r="I41" s="581">
        <f t="shared" si="0"/>
        <v>22.895361719999997</v>
      </c>
      <c r="J41" s="581">
        <f t="shared" si="0"/>
        <v>20.793617459999997</v>
      </c>
      <c r="K41" s="581">
        <f t="shared" si="0"/>
        <v>15.898570379999997</v>
      </c>
      <c r="L41" s="581">
        <f t="shared" si="0"/>
        <v>10.016829899999998</v>
      </c>
      <c r="M41" s="581">
        <f t="shared" si="0"/>
        <v>4.7643611399999992</v>
      </c>
      <c r="N41" s="581">
        <f t="shared" si="0"/>
        <v>3.1431569399999995</v>
      </c>
      <c r="O41" s="67"/>
      <c r="P41" s="30"/>
      <c r="Q41" s="717"/>
      <c r="R41" s="717"/>
      <c r="S41" s="717"/>
      <c r="T41" s="717"/>
      <c r="U41" s="717"/>
      <c r="V41" s="717"/>
      <c r="W41" s="717"/>
      <c r="X41" s="717"/>
      <c r="Y41" s="717"/>
      <c r="Z41" s="717"/>
      <c r="AA41" s="717"/>
      <c r="AB41" s="717"/>
    </row>
    <row r="42" spans="1:28" s="1" customFormat="1">
      <c r="A42" s="14"/>
      <c r="B42" s="14" t="s">
        <v>453</v>
      </c>
      <c r="C42" s="76">
        <f>C41*1000/24</f>
        <v>156.09305249999997</v>
      </c>
      <c r="D42" s="76">
        <f t="shared" ref="D42:N42" si="1">D41*1000/24</f>
        <v>311.85866249999992</v>
      </c>
      <c r="E42" s="76">
        <f t="shared" si="1"/>
        <v>535.50188999999989</v>
      </c>
      <c r="F42" s="76">
        <f t="shared" si="1"/>
        <v>794.49677999999994</v>
      </c>
      <c r="G42" s="76">
        <f t="shared" si="1"/>
        <v>1023.0395174999998</v>
      </c>
      <c r="H42" s="76">
        <f t="shared" si="1"/>
        <v>1032.5110949999998</v>
      </c>
      <c r="I42" s="76">
        <f t="shared" si="1"/>
        <v>953.97340499999984</v>
      </c>
      <c r="J42" s="76">
        <f t="shared" si="1"/>
        <v>866.4007274999999</v>
      </c>
      <c r="K42" s="76">
        <f t="shared" si="1"/>
        <v>662.44043249999993</v>
      </c>
      <c r="L42" s="76">
        <f t="shared" si="1"/>
        <v>417.36791249999987</v>
      </c>
      <c r="M42" s="76">
        <f t="shared" si="1"/>
        <v>198.51504749999995</v>
      </c>
      <c r="N42" s="76">
        <f t="shared" si="1"/>
        <v>130.96487249999998</v>
      </c>
      <c r="O42" s="80">
        <f>AVERAGE(C42:G42,L42:N42)</f>
        <v>445.97971687499995</v>
      </c>
      <c r="P42" s="32"/>
      <c r="Q42" s="728">
        <f>Q36*1000/24</f>
        <v>189.85843799999998</v>
      </c>
      <c r="R42" s="728">
        <f t="shared" ref="R42:AB42" si="2">R36*1000/24</f>
        <v>379.71687599999996</v>
      </c>
      <c r="S42" s="728">
        <f t="shared" si="2"/>
        <v>651.55963949999989</v>
      </c>
      <c r="T42" s="728">
        <f t="shared" si="2"/>
        <v>966.55204800000001</v>
      </c>
      <c r="U42" s="728">
        <f t="shared" si="2"/>
        <v>1242.7097759999999</v>
      </c>
      <c r="V42" s="728"/>
      <c r="W42" s="728"/>
      <c r="X42" s="728"/>
      <c r="Y42" s="728"/>
      <c r="Z42" s="728">
        <f t="shared" si="2"/>
        <v>509.16581099999991</v>
      </c>
      <c r="AA42" s="728">
        <f t="shared" si="2"/>
        <v>241.638012</v>
      </c>
      <c r="AB42" s="728">
        <f t="shared" si="2"/>
        <v>159.65368649999999</v>
      </c>
    </row>
    <row r="43" spans="1:28" s="1" customFormat="1">
      <c r="A43" s="30"/>
      <c r="B43" s="30"/>
      <c r="C43" s="67"/>
      <c r="D43" s="67"/>
      <c r="E43" s="67"/>
      <c r="F43" s="67"/>
      <c r="G43" s="67"/>
      <c r="H43" s="67"/>
      <c r="I43" s="67"/>
      <c r="J43" s="67"/>
      <c r="K43" s="67"/>
      <c r="L43" s="67"/>
      <c r="M43" s="73"/>
      <c r="N43" s="73"/>
      <c r="O43" s="67"/>
      <c r="P43" s="30"/>
      <c r="Q43" s="717"/>
      <c r="R43" s="717"/>
      <c r="S43" s="717"/>
      <c r="T43" s="717"/>
      <c r="U43" s="717"/>
      <c r="V43" s="717"/>
      <c r="W43" s="717"/>
      <c r="X43" s="717"/>
      <c r="Y43" s="717"/>
      <c r="Z43" s="717"/>
      <c r="AA43" s="717"/>
      <c r="AB43" s="717"/>
    </row>
    <row r="44" spans="1:28" s="7" customFormat="1">
      <c r="A44" s="216" t="s">
        <v>577</v>
      </c>
      <c r="B44" s="216"/>
      <c r="C44" s="503">
        <f>Light!$E$70+C42</f>
        <v>659.63527009880693</v>
      </c>
      <c r="D44" s="503">
        <f>Light!$E$70+D42</f>
        <v>815.40088009880685</v>
      </c>
      <c r="E44" s="503">
        <f>Light!$E$70+E42</f>
        <v>1039.0441075988069</v>
      </c>
      <c r="F44" s="503">
        <f>Light!$E$70+F42</f>
        <v>1298.0389975988069</v>
      </c>
      <c r="G44" s="503">
        <f>Light!$E$70+G42</f>
        <v>1526.5817350988068</v>
      </c>
      <c r="H44" s="503">
        <f>Light!$E$70+H42</f>
        <v>1536.0533125988068</v>
      </c>
      <c r="I44" s="503">
        <f>Light!$E$70+I42</f>
        <v>1457.5156225988067</v>
      </c>
      <c r="J44" s="503">
        <f>Light!$E$70+J42</f>
        <v>1369.9429450988068</v>
      </c>
      <c r="K44" s="503">
        <f>Light!$E$70+K42</f>
        <v>1165.982650098807</v>
      </c>
      <c r="L44" s="503">
        <f>Light!$E$70+L42</f>
        <v>920.9101300988068</v>
      </c>
      <c r="M44" s="503">
        <f>Light!$E$70+M42</f>
        <v>702.05726509880685</v>
      </c>
      <c r="N44" s="503">
        <f>Light!$E$70+N42</f>
        <v>634.50709009880688</v>
      </c>
      <c r="O44" s="503">
        <f>AVERAGE(C44:G44,L44:N44)</f>
        <v>949.52193447380682</v>
      </c>
      <c r="P44" s="524"/>
      <c r="Q44" s="721">
        <f>Light!$L$70+Q42</f>
        <v>850.90481187771297</v>
      </c>
      <c r="R44" s="721">
        <f>Light!$L$70+R42</f>
        <v>1040.763249877713</v>
      </c>
      <c r="S44" s="721">
        <f>Light!$L$70+S42</f>
        <v>1312.6060133777128</v>
      </c>
      <c r="T44" s="721">
        <f>Light!$L$70+T42</f>
        <v>1627.598421877713</v>
      </c>
      <c r="U44" s="721">
        <f>Light!$L$70+U42</f>
        <v>1903.7561498777129</v>
      </c>
      <c r="V44" s="721"/>
      <c r="W44" s="721"/>
      <c r="X44" s="721"/>
      <c r="Y44" s="721"/>
      <c r="Z44" s="721">
        <f>Light!$L$70+Z42</f>
        <v>1170.2121848777128</v>
      </c>
      <c r="AA44" s="721">
        <f>Light!$L$70+AA42</f>
        <v>902.684385877713</v>
      </c>
      <c r="AB44" s="721">
        <f>Light!$L$70+AB42</f>
        <v>820.70006037771304</v>
      </c>
    </row>
    <row r="45" spans="1:28" s="7" customFormat="1">
      <c r="A45" s="216"/>
      <c r="B45" s="216"/>
      <c r="C45" s="503"/>
      <c r="D45" s="503"/>
      <c r="E45" s="503"/>
      <c r="F45" s="503"/>
      <c r="G45" s="503"/>
      <c r="H45" s="503"/>
      <c r="I45" s="503"/>
      <c r="J45" s="503"/>
      <c r="K45" s="503"/>
      <c r="L45" s="503"/>
      <c r="M45" s="503"/>
      <c r="N45" s="503"/>
      <c r="O45" s="475"/>
      <c r="P45" s="216"/>
      <c r="Q45" s="696"/>
      <c r="R45" s="696"/>
      <c r="S45" s="696"/>
      <c r="T45" s="696"/>
      <c r="U45" s="696"/>
      <c r="V45" s="696"/>
      <c r="W45" s="696"/>
      <c r="X45" s="696"/>
      <c r="Y45" s="696"/>
      <c r="Z45" s="696"/>
      <c r="AA45" s="696"/>
      <c r="AB45" s="696"/>
    </row>
    <row r="46" spans="1:28" s="7" customFormat="1">
      <c r="A46" s="28" t="s">
        <v>578</v>
      </c>
      <c r="B46" s="216"/>
      <c r="C46" s="475"/>
      <c r="D46" s="475"/>
      <c r="E46" s="475"/>
      <c r="F46" s="475"/>
      <c r="G46" s="475"/>
      <c r="H46" s="475"/>
      <c r="I46" s="475"/>
      <c r="J46" s="475"/>
      <c r="K46" s="475"/>
      <c r="L46" s="475"/>
      <c r="M46" s="475"/>
      <c r="N46" s="475"/>
      <c r="O46" s="475"/>
      <c r="P46" s="216"/>
      <c r="Q46" s="696"/>
      <c r="R46" s="696"/>
      <c r="S46" s="696"/>
      <c r="T46" s="696"/>
      <c r="U46" s="696"/>
      <c r="V46" s="696"/>
      <c r="W46" s="696"/>
      <c r="X46" s="696"/>
      <c r="Y46" s="696"/>
      <c r="Z46" s="696"/>
      <c r="AA46" s="696"/>
      <c r="AB46" s="696"/>
    </row>
    <row r="47" spans="1:28" s="7" customFormat="1">
      <c r="A47" s="88" t="s">
        <v>579</v>
      </c>
      <c r="B47" s="216"/>
      <c r="C47" s="522">
        <f>HtUse!B77</f>
        <v>5.3</v>
      </c>
      <c r="D47" s="522">
        <f>HtUse!C77</f>
        <v>5.5</v>
      </c>
      <c r="E47" s="522">
        <f>HtUse!D77</f>
        <v>7</v>
      </c>
      <c r="F47" s="522">
        <f>HtUse!E77</f>
        <v>8.3000000000000007</v>
      </c>
      <c r="G47" s="522">
        <f>HtUse!F77</f>
        <v>11</v>
      </c>
      <c r="H47" s="522">
        <f>HtUse!G77</f>
        <v>13.5</v>
      </c>
      <c r="I47" s="522">
        <f>HtUse!H77</f>
        <v>15.5</v>
      </c>
      <c r="J47" s="522">
        <f>HtUse!I77</f>
        <v>15.2</v>
      </c>
      <c r="K47" s="522">
        <f>HtUse!J77</f>
        <v>13.3</v>
      </c>
      <c r="L47" s="522">
        <f>HtUse!K77</f>
        <v>10.4</v>
      </c>
      <c r="M47" s="522">
        <f>HtUse!L77</f>
        <v>7.5</v>
      </c>
      <c r="N47" s="522">
        <f>HtUse!M77</f>
        <v>6</v>
      </c>
      <c r="O47" s="475"/>
      <c r="P47" s="216"/>
      <c r="Q47" s="696"/>
      <c r="R47" s="696"/>
      <c r="S47" s="696"/>
      <c r="T47" s="696"/>
      <c r="U47" s="696"/>
      <c r="V47" s="696"/>
      <c r="W47" s="696"/>
      <c r="X47" s="696"/>
      <c r="Y47" s="696"/>
      <c r="Z47" s="696"/>
      <c r="AA47" s="696"/>
      <c r="AB47" s="696"/>
    </row>
    <row r="48" spans="1:28" s="7" customFormat="1">
      <c r="A48" s="88" t="s">
        <v>580</v>
      </c>
      <c r="B48" s="216"/>
      <c r="C48" s="509">
        <f>C47+$H$29*($G$6-C47)</f>
        <v>17.668499079450964</v>
      </c>
      <c r="D48" s="509">
        <f t="shared" ref="D48:N48" si="3">D47+$H$29*($G$6-D47)</f>
        <v>17.684580877526045</v>
      </c>
      <c r="E48" s="509">
        <f t="shared" si="3"/>
        <v>17.805194363089132</v>
      </c>
      <c r="F48" s="509">
        <f t="shared" si="3"/>
        <v>17.909726050577142</v>
      </c>
      <c r="G48" s="509">
        <f t="shared" si="3"/>
        <v>18.126830324590706</v>
      </c>
      <c r="H48" s="509">
        <f t="shared" si="3"/>
        <v>18.327852800529186</v>
      </c>
      <c r="I48" s="509">
        <f t="shared" si="3"/>
        <v>18.488670781279971</v>
      </c>
      <c r="J48" s="509">
        <f t="shared" si="3"/>
        <v>18.464548084167355</v>
      </c>
      <c r="K48" s="509">
        <f t="shared" si="3"/>
        <v>18.311771002454108</v>
      </c>
      <c r="L48" s="509">
        <f t="shared" si="3"/>
        <v>18.078584930365469</v>
      </c>
      <c r="M48" s="509">
        <f t="shared" si="3"/>
        <v>17.84539885827683</v>
      </c>
      <c r="N48" s="509">
        <f t="shared" si="3"/>
        <v>17.72478537271374</v>
      </c>
      <c r="O48" s="522">
        <f>AVERAGE(C48:G48,L48:N48)</f>
        <v>17.855449982073754</v>
      </c>
      <c r="P48" s="563"/>
      <c r="Q48" s="702">
        <f>C47+$Q$29*($G$6-C47)</f>
        <v>17.002247670533816</v>
      </c>
      <c r="R48" s="702">
        <f>D47+$Q$29*($G$6-D47)</f>
        <v>17.028236552756361</v>
      </c>
      <c r="S48" s="702">
        <f>E47+$Q$29*($G$6-E47)</f>
        <v>17.223153169425451</v>
      </c>
      <c r="T48" s="702">
        <f>F47+$Q$29*($G$6-F47)</f>
        <v>17.392080903871999</v>
      </c>
      <c r="U48" s="702">
        <f>G47+$Q$29*($G$6-G47)</f>
        <v>17.742930813876363</v>
      </c>
      <c r="V48" s="702"/>
      <c r="W48" s="702"/>
      <c r="X48" s="702"/>
      <c r="Y48" s="702"/>
      <c r="Z48" s="702">
        <f>L47+$Q$29*($G$6-L47)</f>
        <v>17.664964167208726</v>
      </c>
      <c r="AA48" s="702">
        <f>M47+$Q$29*($G$6-M47)</f>
        <v>17.288125374981817</v>
      </c>
      <c r="AB48" s="702">
        <f>N47+$Q$29*($G$6-N47)</f>
        <v>17.093208758312727</v>
      </c>
    </row>
    <row r="49" spans="1:28" s="7" customFormat="1">
      <c r="A49" s="216" t="s">
        <v>581</v>
      </c>
      <c r="B49" s="216"/>
      <c r="C49" s="503">
        <f>MAX(hlc*(C48-B77),0)</f>
        <v>1564.3591940322838</v>
      </c>
      <c r="D49" s="503">
        <f t="shared" ref="D49:N49" si="4">MAX(hlc*(D48-C77),0)</f>
        <v>1541.0973472808748</v>
      </c>
      <c r="E49" s="503">
        <f t="shared" si="4"/>
        <v>1366.6334966453039</v>
      </c>
      <c r="F49" s="503">
        <f t="shared" si="4"/>
        <v>1215.4314927611424</v>
      </c>
      <c r="G49" s="503">
        <f t="shared" si="4"/>
        <v>901.39656161711559</v>
      </c>
      <c r="H49" s="503">
        <f t="shared" si="4"/>
        <v>610.62347722449738</v>
      </c>
      <c r="I49" s="503">
        <f t="shared" si="4"/>
        <v>378.00500971040304</v>
      </c>
      <c r="J49" s="503">
        <f t="shared" si="4"/>
        <v>412.89777983751742</v>
      </c>
      <c r="K49" s="503">
        <f t="shared" si="4"/>
        <v>633.88532397590689</v>
      </c>
      <c r="L49" s="503">
        <f t="shared" si="4"/>
        <v>971.18210187134366</v>
      </c>
      <c r="M49" s="503">
        <f t="shared" si="4"/>
        <v>1308.4788797667804</v>
      </c>
      <c r="N49" s="503">
        <f t="shared" si="4"/>
        <v>1482.9427304023511</v>
      </c>
      <c r="O49" s="503">
        <f>AVERAGE(C49:G49,L49:N49)</f>
        <v>1293.9402255471496</v>
      </c>
      <c r="P49" s="524"/>
      <c r="Q49" s="721">
        <f>MAX(hlcRef*(Q48-B77),0)</f>
        <v>2537.1012714583699</v>
      </c>
      <c r="R49" s="721">
        <f>MAX(hlcRef*(R48-C77),0)</f>
        <v>2499.3748584998812</v>
      </c>
      <c r="S49" s="721">
        <f>MAX(hlcRef*(S48-D77),0)</f>
        <v>2216.4267613112152</v>
      </c>
      <c r="T49" s="721">
        <f>MAX(hlcRef*(T48-E77),0)</f>
        <v>1971.2050770810386</v>
      </c>
      <c r="U49" s="721">
        <f>MAX(hlcRef*(U48-F77),0)</f>
        <v>1461.8985021414401</v>
      </c>
      <c r="V49" s="721"/>
      <c r="W49" s="721"/>
      <c r="X49" s="721"/>
      <c r="Y49" s="721"/>
      <c r="Z49" s="721">
        <f>MAX(hlcRef*(Z48-K77),0)</f>
        <v>1575.0777410169062</v>
      </c>
      <c r="AA49" s="721">
        <f>MAX(hlcRef*(AA48-L77),0)</f>
        <v>2122.1107289149936</v>
      </c>
      <c r="AB49" s="721">
        <f>MAX(hlcRef*(AB48-M77),0)</f>
        <v>2405.0588261036596</v>
      </c>
    </row>
    <row r="50" spans="1:28" s="7" customFormat="1">
      <c r="A50" s="216" t="s">
        <v>582</v>
      </c>
      <c r="B50" s="216"/>
      <c r="C50" s="509">
        <f>IF(C49&gt;0,C44/C49,0)</f>
        <v>0.42166484053993675</v>
      </c>
      <c r="D50" s="509">
        <f t="shared" ref="D50:N50" si="5">IF(D49&gt;0,D44/D49,0)</f>
        <v>0.52910407089954903</v>
      </c>
      <c r="E50" s="509">
        <f t="shared" si="5"/>
        <v>0.76029462921065838</v>
      </c>
      <c r="F50" s="509">
        <f t="shared" si="5"/>
        <v>1.0679655787509683</v>
      </c>
      <c r="G50" s="509">
        <f t="shared" si="5"/>
        <v>1.693573949694352</v>
      </c>
      <c r="H50" s="509">
        <f t="shared" si="5"/>
        <v>2.5155490574661816</v>
      </c>
      <c r="I50" s="509">
        <f t="shared" si="5"/>
        <v>3.8558103336128737</v>
      </c>
      <c r="J50" s="509">
        <f t="shared" si="5"/>
        <v>3.317874331118718</v>
      </c>
      <c r="K50" s="509">
        <f t="shared" si="5"/>
        <v>1.8394220626302502</v>
      </c>
      <c r="L50" s="509">
        <f t="shared" si="5"/>
        <v>0.94823630740757148</v>
      </c>
      <c r="M50" s="509">
        <f t="shared" si="5"/>
        <v>0.53654459078769356</v>
      </c>
      <c r="N50" s="509">
        <f t="shared" si="5"/>
        <v>0.42787025897261238</v>
      </c>
      <c r="O50" s="475"/>
      <c r="P50" s="216"/>
      <c r="Q50" s="702">
        <f>IF(Q49&gt;0,Q44/Q49,0)</f>
        <v>0.33538464603291068</v>
      </c>
      <c r="R50" s="702">
        <f>IF(R49&gt;0,R44/R49,0)</f>
        <v>0.41640942587634755</v>
      </c>
      <c r="S50" s="702">
        <f>IF(S49&gt;0,S44/S49,0)</f>
        <v>0.59221718321122807</v>
      </c>
      <c r="T50" s="702">
        <f>IF(T49&gt;0,T44/T49,0)</f>
        <v>0.82568700781141535</v>
      </c>
      <c r="U50" s="702">
        <f>IF(U49&gt;0,U44/U49,0)</f>
        <v>1.3022491965680409</v>
      </c>
      <c r="V50" s="702"/>
      <c r="W50" s="702"/>
      <c r="X50" s="702"/>
      <c r="Y50" s="702"/>
      <c r="Z50" s="702">
        <f>IF(Z49&gt;0,Z44/Z49,0)</f>
        <v>0.74295519160990564</v>
      </c>
      <c r="AA50" s="702">
        <f>IF(AA49&gt;0,AA44/AA49,0)</f>
        <v>0.42537101084223028</v>
      </c>
      <c r="AB50" s="702">
        <f>IF(AB49&gt;0,AB44/AB49,0)</f>
        <v>0.34123907967244888</v>
      </c>
    </row>
    <row r="51" spans="1:28" s="7" customFormat="1">
      <c r="A51" s="216" t="s">
        <v>583</v>
      </c>
      <c r="B51" s="216"/>
      <c r="C51" s="509">
        <f>IF(C49=0,0,IF(C50&lt;&gt;1,(1-C50^$G$17)/(1-C50^($G$17+1)),$G$17/($G$17+1)))</f>
        <v>0.98984676946584338</v>
      </c>
      <c r="D51" s="509">
        <f t="shared" ref="D51:N51" si="6">IF(D49=0,0,IF(D50&lt;&gt;1,(1-D50^$G$17)/(1-D50^($G$17+1)),$G$17/($G$17+1)))</f>
        <v>0.97555487460547607</v>
      </c>
      <c r="E51" s="509">
        <f t="shared" si="6"/>
        <v>0.91604298675835427</v>
      </c>
      <c r="F51" s="509">
        <f t="shared" si="6"/>
        <v>0.79609709326234668</v>
      </c>
      <c r="G51" s="509">
        <f t="shared" si="6"/>
        <v>0.56895414227899221</v>
      </c>
      <c r="H51" s="509">
        <f t="shared" si="6"/>
        <v>0.39434510778888171</v>
      </c>
      <c r="I51" s="509">
        <f t="shared" si="6"/>
        <v>0.25900607976077128</v>
      </c>
      <c r="J51" s="509">
        <f t="shared" si="6"/>
        <v>0.3006371470500368</v>
      </c>
      <c r="K51" s="509">
        <f t="shared" si="6"/>
        <v>0.52895595942466178</v>
      </c>
      <c r="L51" s="509">
        <f t="shared" si="6"/>
        <v>0.84540916939371979</v>
      </c>
      <c r="M51" s="509">
        <f t="shared" si="6"/>
        <v>0.97425431977362653</v>
      </c>
      <c r="N51" s="509">
        <f t="shared" si="6"/>
        <v>0.98923652507559134</v>
      </c>
      <c r="O51" s="509">
        <f>AVERAGE(C51:G51,L51:N51)</f>
        <v>0.8819244850767437</v>
      </c>
      <c r="P51" s="513"/>
      <c r="Q51" s="702">
        <f>IF(Q49=0,0,IF(Q50&lt;&gt;1,(1-Q50^$Q$17)/(1-Q50^($Q$17+1)),$Q$17/($Q$17+1)))</f>
        <v>0.97854475075190339</v>
      </c>
      <c r="R51" s="702">
        <f t="shared" ref="R51:AB51" si="7">IF(R49=0,0,IF(R50&lt;&gt;1,(1-R50^$Q$17)/(1-R50^($Q$17+1)),$Q$17/($Q$17+1)))</f>
        <v>0.9621353529431198</v>
      </c>
      <c r="S51" s="702">
        <f t="shared" si="7"/>
        <v>0.91178703370825986</v>
      </c>
      <c r="T51" s="702">
        <f t="shared" si="7"/>
        <v>0.82627978336877761</v>
      </c>
      <c r="U51" s="702">
        <f t="shared" si="7"/>
        <v>0.65150917502869266</v>
      </c>
      <c r="V51" s="702"/>
      <c r="W51" s="702"/>
      <c r="X51" s="702"/>
      <c r="Y51" s="702"/>
      <c r="Z51" s="702">
        <f t="shared" si="7"/>
        <v>0.85786816230527774</v>
      </c>
      <c r="AA51" s="702">
        <f t="shared" si="7"/>
        <v>0.96002842657744614</v>
      </c>
      <c r="AB51" s="702">
        <f t="shared" si="7"/>
        <v>0.97752321504239215</v>
      </c>
    </row>
    <row r="52" spans="1:28" s="7" customFormat="1">
      <c r="A52" s="216" t="s">
        <v>584</v>
      </c>
      <c r="B52" s="216"/>
      <c r="C52" s="503">
        <f>IF(C49&gt;0,C44*C51,0)</f>
        <v>652.93784113303309</v>
      </c>
      <c r="D52" s="503">
        <f t="shared" ref="D52:N52" si="8">IF(D49&gt;0,D44*D51,0)</f>
        <v>795.4683033379863</v>
      </c>
      <c r="E52" s="503">
        <f t="shared" si="8"/>
        <v>951.80906769847991</v>
      </c>
      <c r="F52" s="503">
        <f t="shared" si="8"/>
        <v>1033.3650729295803</v>
      </c>
      <c r="G52" s="503">
        <f t="shared" si="8"/>
        <v>868.55500171191738</v>
      </c>
      <c r="H52" s="503">
        <f t="shared" si="8"/>
        <v>605.73510912624522</v>
      </c>
      <c r="I52" s="503">
        <f t="shared" si="8"/>
        <v>377.50540759939673</v>
      </c>
      <c r="J52" s="503">
        <f t="shared" si="8"/>
        <v>411.85573863583051</v>
      </c>
      <c r="K52" s="503">
        <f t="shared" si="8"/>
        <v>616.7534713555242</v>
      </c>
      <c r="L52" s="503">
        <f t="shared" si="8"/>
        <v>778.54586817309473</v>
      </c>
      <c r="M52" s="503">
        <f t="shared" si="8"/>
        <v>683.98232325097069</v>
      </c>
      <c r="N52" s="503">
        <f t="shared" si="8"/>
        <v>627.67758894516885</v>
      </c>
      <c r="O52" s="503">
        <f>AVERAGE(C52:G52,L52:N52)</f>
        <v>799.0426333975289</v>
      </c>
      <c r="P52" s="524"/>
      <c r="Q52" s="721">
        <f>IF(Q49&gt;0,Q44*Q51,0)</f>
        <v>832.64843705247188</v>
      </c>
      <c r="R52" s="721">
        <f>IF(R49&gt;0,R44*R51,0)</f>
        <v>1001.3551167513217</v>
      </c>
      <c r="S52" s="721">
        <f>IF(S49&gt;0,S44*S51,0)</f>
        <v>1196.8171433652892</v>
      </c>
      <c r="T52" s="721">
        <f>IF(T49&gt;0,T44*T51,0)</f>
        <v>1344.8516714404809</v>
      </c>
      <c r="U52" s="721">
        <f>IF(U49&gt;0,U44*U51,0)</f>
        <v>1240.3145986626289</v>
      </c>
      <c r="V52" s="721"/>
      <c r="W52" s="721"/>
      <c r="X52" s="721"/>
      <c r="Y52" s="721"/>
      <c r="Z52" s="721">
        <f>IF(Z49&gt;0,Z44*Z51,0)</f>
        <v>1003.8877765482874</v>
      </c>
      <c r="AA52" s="721">
        <f>IF(AA49&gt;0,AA44*AA51,0)</f>
        <v>866.60267067020902</v>
      </c>
      <c r="AB52" s="721">
        <f>IF(AB49&gt;0,AB44*AB51,0)</f>
        <v>802.25336160590746</v>
      </c>
    </row>
    <row r="53" spans="1:28" s="7" customFormat="1">
      <c r="A53" s="216" t="s">
        <v>585</v>
      </c>
      <c r="B53" s="216"/>
      <c r="C53" s="503">
        <f>C49-C52</f>
        <v>911.42135289925068</v>
      </c>
      <c r="D53" s="503">
        <f t="shared" ref="D53:N53" si="9">D49-D52</f>
        <v>745.62904394288853</v>
      </c>
      <c r="E53" s="503">
        <f t="shared" si="9"/>
        <v>414.82442894682401</v>
      </c>
      <c r="F53" s="503">
        <f t="shared" si="9"/>
        <v>182.06641983156214</v>
      </c>
      <c r="G53" s="503">
        <f t="shared" si="9"/>
        <v>32.84155990519821</v>
      </c>
      <c r="H53" s="503">
        <f t="shared" si="9"/>
        <v>4.8883680982521582</v>
      </c>
      <c r="I53" s="503">
        <f t="shared" si="9"/>
        <v>0.49960211100631113</v>
      </c>
      <c r="J53" s="503">
        <f t="shared" si="9"/>
        <v>1.0420412016869136</v>
      </c>
      <c r="K53" s="503">
        <f t="shared" si="9"/>
        <v>17.131852620382688</v>
      </c>
      <c r="L53" s="503">
        <f t="shared" si="9"/>
        <v>192.63623369824893</v>
      </c>
      <c r="M53" s="503">
        <f t="shared" si="9"/>
        <v>624.49655651580974</v>
      </c>
      <c r="N53" s="503">
        <f t="shared" si="9"/>
        <v>855.26514145718227</v>
      </c>
      <c r="O53" s="503">
        <f>AVERAGE(C53:G53,L53:N53)</f>
        <v>494.89759214962061</v>
      </c>
      <c r="P53" s="524"/>
      <c r="Q53" s="721">
        <f>Q49-Q52</f>
        <v>1704.4528344058981</v>
      </c>
      <c r="R53" s="721">
        <f>R49-R52</f>
        <v>1498.0197417485595</v>
      </c>
      <c r="S53" s="721">
        <f>S49-S52</f>
        <v>1019.6096179459259</v>
      </c>
      <c r="T53" s="721">
        <f>T49-T52</f>
        <v>626.35340564055764</v>
      </c>
      <c r="U53" s="721">
        <f>U49-U52</f>
        <v>221.58390347881118</v>
      </c>
      <c r="V53" s="721"/>
      <c r="W53" s="721"/>
      <c r="X53" s="721"/>
      <c r="Y53" s="721"/>
      <c r="Z53" s="721">
        <f>Z49-Z52</f>
        <v>571.18996446861877</v>
      </c>
      <c r="AA53" s="721">
        <f>AA49-AA52</f>
        <v>1255.5080582447845</v>
      </c>
      <c r="AB53" s="721">
        <f>AB49-AB52</f>
        <v>1602.8054644977522</v>
      </c>
    </row>
    <row r="54" spans="1:28" s="7" customFormat="1">
      <c r="A54" s="216" t="s">
        <v>586</v>
      </c>
      <c r="B54" s="216"/>
      <c r="C54" s="528">
        <v>31</v>
      </c>
      <c r="D54" s="528">
        <v>28</v>
      </c>
      <c r="E54" s="528">
        <v>31</v>
      </c>
      <c r="F54" s="528">
        <v>30</v>
      </c>
      <c r="G54" s="528">
        <v>31</v>
      </c>
      <c r="H54" s="528">
        <v>30</v>
      </c>
      <c r="I54" s="528">
        <v>31</v>
      </c>
      <c r="J54" s="528">
        <v>31</v>
      </c>
      <c r="K54" s="528">
        <v>30</v>
      </c>
      <c r="L54" s="528">
        <v>31</v>
      </c>
      <c r="M54" s="528">
        <v>30</v>
      </c>
      <c r="N54" s="528">
        <v>31</v>
      </c>
      <c r="O54" s="528"/>
      <c r="P54" s="582"/>
      <c r="Q54" s="696"/>
      <c r="R54" s="696"/>
      <c r="S54" s="696"/>
      <c r="T54" s="696"/>
      <c r="U54" s="696"/>
      <c r="V54" s="696"/>
      <c r="W54" s="696"/>
      <c r="X54" s="696"/>
      <c r="Y54" s="696"/>
      <c r="Z54" s="696"/>
      <c r="AA54" s="696"/>
      <c r="AB54" s="696"/>
    </row>
    <row r="55" spans="1:28" s="7" customFormat="1">
      <c r="A55" s="216" t="s">
        <v>587</v>
      </c>
      <c r="B55" s="216"/>
      <c r="C55" s="503">
        <f>(C53/1000)*24*C54</f>
        <v>678.09748655704254</v>
      </c>
      <c r="D55" s="503">
        <f t="shared" ref="D55:N55" si="10">(D53/1000)*24*D54</f>
        <v>501.06271752962107</v>
      </c>
      <c r="E55" s="503">
        <f t="shared" si="10"/>
        <v>308.62937513643703</v>
      </c>
      <c r="F55" s="503">
        <f t="shared" si="10"/>
        <v>131.08782227872473</v>
      </c>
      <c r="G55" s="503">
        <f t="shared" si="10"/>
        <v>24.434120569467463</v>
      </c>
      <c r="H55" s="503">
        <f>(H53/1000)*24*H54</f>
        <v>3.5196250307415538</v>
      </c>
      <c r="I55" s="503">
        <f>(I53/1000)*24*I54</f>
        <v>0.37170397058869553</v>
      </c>
      <c r="J55" s="503">
        <f>(J53/1000)*24*J54</f>
        <v>0.77527865405506369</v>
      </c>
      <c r="K55" s="503">
        <f t="shared" si="10"/>
        <v>12.334933886675536</v>
      </c>
      <c r="L55" s="503">
        <f t="shared" si="10"/>
        <v>143.32135787149721</v>
      </c>
      <c r="M55" s="503">
        <f t="shared" si="10"/>
        <v>449.63752069138303</v>
      </c>
      <c r="N55" s="503">
        <f t="shared" si="10"/>
        <v>636.31726524414364</v>
      </c>
      <c r="O55" s="503"/>
      <c r="P55" s="524"/>
      <c r="Q55" s="721">
        <f>(Q53/1000)*24*C54</f>
        <v>1268.1129087979882</v>
      </c>
      <c r="R55" s="721">
        <f>(R53/1000)*24*D54</f>
        <v>1006.6692664550319</v>
      </c>
      <c r="S55" s="721">
        <f>(S53/1000)*24*E54</f>
        <v>758.5895557517689</v>
      </c>
      <c r="T55" s="721">
        <f>(T53/1000)*24*F54</f>
        <v>450.97445206120153</v>
      </c>
      <c r="U55" s="721">
        <f>(U53/1000)*24*G54</f>
        <v>164.85842418823552</v>
      </c>
      <c r="V55" s="721"/>
      <c r="W55" s="721"/>
      <c r="X55" s="721"/>
      <c r="Y55" s="721"/>
      <c r="Z55" s="721">
        <f>(Z53/1000)*24*L54</f>
        <v>424.96533356465244</v>
      </c>
      <c r="AA55" s="721">
        <f>(AA53/1000)*24*M54</f>
        <v>903.96580193624482</v>
      </c>
      <c r="AB55" s="721">
        <f>(AB53/1000)*24*N54</f>
        <v>1192.4872655863276</v>
      </c>
    </row>
    <row r="56" spans="1:28" s="7" customFormat="1">
      <c r="A56" s="216"/>
      <c r="B56" s="216"/>
      <c r="C56" s="524"/>
      <c r="D56" s="524"/>
      <c r="E56" s="524"/>
      <c r="F56" s="524"/>
      <c r="G56" s="524"/>
      <c r="H56" s="524"/>
      <c r="I56" s="524"/>
      <c r="J56" s="524"/>
      <c r="K56" s="524"/>
      <c r="L56" s="524"/>
      <c r="M56" s="524"/>
      <c r="N56" s="524"/>
      <c r="O56" s="216"/>
      <c r="P56" s="216"/>
      <c r="Q56" s="696"/>
      <c r="R56" s="696"/>
      <c r="S56" s="696"/>
      <c r="T56" s="696"/>
      <c r="U56" s="696"/>
      <c r="V56" s="696"/>
      <c r="W56" s="696"/>
      <c r="X56" s="696"/>
      <c r="Y56" s="696"/>
      <c r="Z56" s="696"/>
      <c r="AA56" s="696"/>
      <c r="AB56" s="696"/>
    </row>
    <row r="57" spans="1:28" s="7" customFormat="1">
      <c r="A57" s="216" t="s">
        <v>588</v>
      </c>
      <c r="B57" s="216"/>
      <c r="C57" s="216" t="s">
        <v>589</v>
      </c>
      <c r="D57" s="524"/>
      <c r="E57" s="216"/>
      <c r="F57" s="71">
        <f>SUM(C55:G55,L55:N55)</f>
        <v>2872.5876658783163</v>
      </c>
      <c r="G57" s="216"/>
      <c r="H57" s="216"/>
      <c r="I57" s="216"/>
      <c r="J57" s="216"/>
      <c r="K57" s="216"/>
      <c r="L57" s="216"/>
      <c r="M57" s="216"/>
      <c r="N57" s="216"/>
      <c r="O57" s="216"/>
      <c r="P57" s="216"/>
      <c r="Q57" s="721">
        <f>SUM(Q55:U55,Z55:AB55)</f>
        <v>6170.6230083414503</v>
      </c>
      <c r="R57" s="696"/>
      <c r="S57" s="696"/>
      <c r="T57" s="696"/>
      <c r="U57" s="696"/>
      <c r="V57" s="696"/>
      <c r="W57" s="696"/>
      <c r="X57" s="696"/>
      <c r="Y57" s="696"/>
      <c r="Z57" s="696"/>
      <c r="AA57" s="696"/>
      <c r="AB57" s="696"/>
    </row>
    <row r="58" spans="1:28" s="7" customFormat="1">
      <c r="A58" s="216"/>
      <c r="B58" s="216"/>
      <c r="C58" s="216" t="s">
        <v>590</v>
      </c>
      <c r="D58" s="216"/>
      <c r="E58" s="216"/>
      <c r="F58" s="219">
        <f>SUM(C55:N55)</f>
        <v>2889.5892074203771</v>
      </c>
      <c r="G58" s="216"/>
      <c r="H58" s="216"/>
      <c r="I58" s="216"/>
      <c r="J58" s="216"/>
      <c r="K58" s="216"/>
      <c r="L58" s="216"/>
      <c r="M58" s="216"/>
      <c r="N58" s="216"/>
      <c r="O58" s="216"/>
      <c r="P58" s="216"/>
      <c r="Q58" s="696"/>
      <c r="R58" s="696"/>
      <c r="S58" s="696"/>
      <c r="T58" s="696"/>
      <c r="U58" s="696"/>
      <c r="V58" s="696"/>
      <c r="W58" s="696"/>
      <c r="X58" s="696"/>
      <c r="Y58" s="696"/>
      <c r="Z58" s="696"/>
      <c r="AA58" s="696"/>
      <c r="AB58" s="696"/>
    </row>
    <row r="59" spans="1:28" s="7" customFormat="1">
      <c r="A59" s="216"/>
      <c r="B59" s="216"/>
      <c r="C59" s="216"/>
      <c r="D59" s="216"/>
      <c r="E59" s="216"/>
      <c r="F59" s="216"/>
      <c r="G59" s="216"/>
      <c r="H59" s="216"/>
      <c r="I59" s="216"/>
      <c r="J59" s="216"/>
      <c r="K59" s="216"/>
      <c r="L59" s="216"/>
      <c r="M59" s="216"/>
      <c r="N59" s="216"/>
      <c r="O59" s="216"/>
      <c r="P59" s="216"/>
      <c r="Q59" s="696"/>
      <c r="R59" s="696"/>
      <c r="S59" s="696"/>
      <c r="T59" s="696"/>
      <c r="U59" s="696"/>
      <c r="V59" s="696"/>
      <c r="W59" s="696"/>
      <c r="X59" s="696"/>
      <c r="Y59" s="696"/>
      <c r="Z59" s="696"/>
      <c r="AA59" s="696"/>
      <c r="AB59" s="696"/>
    </row>
    <row r="60" spans="1:28" s="7" customFormat="1">
      <c r="A60" s="216"/>
      <c r="B60" s="216"/>
      <c r="C60" s="216"/>
      <c r="D60" s="216"/>
      <c r="E60" s="216"/>
      <c r="F60" s="216"/>
      <c r="G60" s="216"/>
      <c r="H60" s="216"/>
      <c r="I60" s="216"/>
      <c r="J60" s="216"/>
      <c r="K60" s="216"/>
      <c r="L60" s="216"/>
      <c r="M60" s="216"/>
      <c r="N60" s="216"/>
      <c r="O60" s="216"/>
      <c r="P60" s="216"/>
      <c r="Q60" s="696"/>
      <c r="R60" s="696"/>
      <c r="S60" s="696"/>
      <c r="T60" s="696"/>
      <c r="U60" s="696"/>
      <c r="V60" s="696"/>
      <c r="W60" s="696"/>
      <c r="X60" s="696"/>
      <c r="Y60" s="696"/>
      <c r="Z60" s="696"/>
      <c r="AA60" s="696"/>
      <c r="AB60" s="696"/>
    </row>
    <row r="61" spans="1:28" s="7" customFormat="1">
      <c r="A61" s="216"/>
      <c r="B61" s="216"/>
      <c r="C61" s="216"/>
      <c r="D61" s="216"/>
      <c r="E61" s="216"/>
      <c r="F61" s="216"/>
      <c r="G61" s="216"/>
      <c r="H61" s="216"/>
      <c r="I61" s="216"/>
      <c r="J61" s="216"/>
      <c r="K61" s="216"/>
      <c r="L61" s="216"/>
      <c r="M61" s="216"/>
      <c r="N61" s="216"/>
      <c r="O61" s="216"/>
      <c r="P61" s="216"/>
      <c r="Q61" s="696"/>
      <c r="R61" s="696"/>
      <c r="S61" s="696"/>
      <c r="T61" s="696"/>
      <c r="U61" s="696"/>
      <c r="V61" s="696"/>
      <c r="W61" s="696"/>
      <c r="X61" s="696"/>
      <c r="Y61" s="696"/>
      <c r="Z61" s="696"/>
      <c r="AA61" s="696"/>
      <c r="AB61" s="696"/>
    </row>
    <row r="62" spans="1:28" s="7" customFormat="1">
      <c r="A62" s="43" t="s">
        <v>591</v>
      </c>
      <c r="B62" s="216"/>
      <c r="C62" s="513"/>
      <c r="D62" s="513"/>
      <c r="E62" s="513"/>
      <c r="F62" s="513"/>
      <c r="G62" s="513"/>
      <c r="H62" s="513"/>
      <c r="I62" s="513"/>
      <c r="J62" s="513"/>
      <c r="K62" s="513"/>
      <c r="L62" s="513"/>
      <c r="M62" s="513"/>
      <c r="N62" s="513"/>
      <c r="O62" s="44" t="s">
        <v>592</v>
      </c>
      <c r="P62" s="513"/>
      <c r="Q62" s="696"/>
      <c r="R62" s="696"/>
      <c r="S62" s="696"/>
      <c r="T62" s="696"/>
      <c r="U62" s="696"/>
      <c r="V62" s="696"/>
      <c r="W62" s="696"/>
      <c r="X62" s="696"/>
      <c r="Y62" s="696"/>
      <c r="Z62" s="696"/>
      <c r="AA62" s="696"/>
      <c r="AB62" s="696"/>
    </row>
    <row r="63" spans="1:28" s="7" customFormat="1">
      <c r="A63" s="43" t="s">
        <v>593</v>
      </c>
      <c r="B63" s="43"/>
      <c r="C63" s="45">
        <f>Light!$E$70*C51</f>
        <v>498.42963737984576</v>
      </c>
      <c r="D63" s="45">
        <f>Light!$E$70*D51</f>
        <v>491.23306494816745</v>
      </c>
      <c r="E63" s="45">
        <f>Light!$E$70*E51</f>
        <v>461.26631696813627</v>
      </c>
      <c r="F63" s="45">
        <f>Light!$E$70*F51</f>
        <v>400.86849576528624</v>
      </c>
      <c r="G63" s="45">
        <f>Light!$E$70*G51</f>
        <v>286.49243051519085</v>
      </c>
      <c r="H63" s="45">
        <f>Light!$E$70*H51</f>
        <v>198.56941007525404</v>
      </c>
      <c r="I63" s="45">
        <f>Light!$E$70*I51</f>
        <v>130.42049577431223</v>
      </c>
      <c r="J63" s="45">
        <f>Light!$E$70*J51</f>
        <v>151.38349571815414</v>
      </c>
      <c r="K63" s="45">
        <f>Light!$E$70*K51</f>
        <v>266.35165682079872</v>
      </c>
      <c r="L63" s="45">
        <f>Light!$E$70*L51</f>
        <v>425.6992079348791</v>
      </c>
      <c r="M63" s="45">
        <f>Light!$E$70*M51</f>
        <v>490.57818068402906</v>
      </c>
      <c r="N63" s="45">
        <f>Light!$E$70*N51</f>
        <v>498.12235356630106</v>
      </c>
      <c r="O63" s="45">
        <f>SUM(C63:N63)</f>
        <v>4299.4147461503553</v>
      </c>
      <c r="P63" s="524"/>
      <c r="Q63" s="696"/>
      <c r="R63" s="696"/>
      <c r="S63" s="696"/>
      <c r="T63" s="696"/>
      <c r="U63" s="696"/>
      <c r="V63" s="696"/>
      <c r="W63" s="696"/>
      <c r="X63" s="696"/>
      <c r="Y63" s="696"/>
      <c r="Z63" s="696"/>
      <c r="AA63" s="696"/>
      <c r="AB63" s="696"/>
    </row>
    <row r="64" spans="1:28" s="7" customFormat="1">
      <c r="A64" s="43" t="s">
        <v>594</v>
      </c>
      <c r="B64" s="43"/>
      <c r="C64" s="45">
        <f>C42*C51</f>
        <v>154.50820375318725</v>
      </c>
      <c r="D64" s="45">
        <f t="shared" ref="D64:N64" si="11">D42*D51</f>
        <v>304.2352383898189</v>
      </c>
      <c r="E64" s="45">
        <f t="shared" si="11"/>
        <v>490.54275073034358</v>
      </c>
      <c r="F64" s="45">
        <f t="shared" si="11"/>
        <v>632.49657716429408</v>
      </c>
      <c r="G64" s="45">
        <f t="shared" si="11"/>
        <v>582.06257119672637</v>
      </c>
      <c r="H64" s="45">
        <f t="shared" si="11"/>
        <v>407.16569905099124</v>
      </c>
      <c r="I64" s="45">
        <f t="shared" si="11"/>
        <v>247.08491182508453</v>
      </c>
      <c r="J64" s="45">
        <f t="shared" si="11"/>
        <v>260.47224291767634</v>
      </c>
      <c r="K64" s="45">
        <f t="shared" si="11"/>
        <v>350.40181453472536</v>
      </c>
      <c r="L64" s="45">
        <f t="shared" si="11"/>
        <v>352.84666023821563</v>
      </c>
      <c r="M64" s="45">
        <f t="shared" si="11"/>
        <v>193.4041425669416</v>
      </c>
      <c r="N64" s="45">
        <f t="shared" si="11"/>
        <v>129.55523537886785</v>
      </c>
      <c r="O64" s="45">
        <f>SUM(C64:N64)</f>
        <v>4104.7760477468728</v>
      </c>
      <c r="P64" s="524"/>
      <c r="Q64" s="696"/>
      <c r="R64" s="696"/>
      <c r="S64" s="696"/>
      <c r="T64" s="696"/>
      <c r="U64" s="696"/>
      <c r="V64" s="696"/>
      <c r="W64" s="696"/>
      <c r="X64" s="696"/>
      <c r="Y64" s="696"/>
      <c r="Z64" s="696"/>
      <c r="AA64" s="696"/>
      <c r="AB64" s="696"/>
    </row>
    <row r="65" spans="1:28" s="7" customFormat="1">
      <c r="A65" s="216"/>
      <c r="B65" s="216"/>
      <c r="C65" s="216"/>
      <c r="D65" s="216"/>
      <c r="E65" s="216"/>
      <c r="F65" s="216"/>
      <c r="G65" s="216"/>
      <c r="H65" s="216"/>
      <c r="I65" s="216"/>
      <c r="J65" s="216"/>
      <c r="K65" s="216"/>
      <c r="L65" s="216"/>
      <c r="M65" s="216"/>
      <c r="N65" s="216"/>
      <c r="O65" s="216"/>
      <c r="P65" s="216"/>
      <c r="Q65" s="729"/>
      <c r="R65" s="729"/>
      <c r="S65" s="729"/>
      <c r="T65" s="729"/>
      <c r="U65" s="729"/>
      <c r="V65" s="729"/>
      <c r="W65" s="729"/>
      <c r="X65" s="729"/>
      <c r="Y65" s="729"/>
      <c r="Z65" s="729"/>
      <c r="AA65" s="729"/>
      <c r="AB65" s="729"/>
    </row>
    <row r="66" spans="1:28" s="7" customFormat="1">
      <c r="A66" s="216"/>
      <c r="B66" s="216"/>
      <c r="C66" s="216"/>
      <c r="D66" s="216"/>
      <c r="E66" s="216"/>
      <c r="F66" s="216"/>
      <c r="G66" s="216"/>
      <c r="H66" s="216"/>
      <c r="I66" s="216"/>
      <c r="J66" s="216"/>
      <c r="K66" s="216"/>
      <c r="L66" s="216"/>
      <c r="M66" s="216"/>
      <c r="N66" s="216"/>
      <c r="O66" s="216"/>
      <c r="P66" s="216"/>
      <c r="Q66" s="729"/>
      <c r="R66" s="729"/>
      <c r="S66" s="729"/>
      <c r="T66" s="729"/>
      <c r="U66" s="729"/>
      <c r="V66" s="729"/>
      <c r="W66" s="729"/>
      <c r="X66" s="729"/>
      <c r="Y66" s="729"/>
      <c r="Z66" s="729"/>
      <c r="AA66" s="729"/>
      <c r="AB66" s="729"/>
    </row>
    <row r="67" spans="1:28" s="7" customFormat="1">
      <c r="A67" s="216"/>
      <c r="B67" s="216"/>
      <c r="C67" s="216"/>
      <c r="D67" s="216"/>
      <c r="E67" s="216"/>
      <c r="F67" s="216"/>
      <c r="G67" s="216"/>
      <c r="H67" s="216"/>
      <c r="I67" s="216"/>
      <c r="J67" s="216"/>
      <c r="K67" s="216"/>
      <c r="L67" s="216"/>
      <c r="M67" s="216"/>
      <c r="N67" s="216"/>
      <c r="O67" s="216"/>
      <c r="P67" s="216"/>
      <c r="Q67" s="729"/>
      <c r="R67" s="729"/>
      <c r="S67" s="729"/>
      <c r="T67" s="729"/>
      <c r="U67" s="729"/>
      <c r="V67" s="729"/>
      <c r="W67" s="729"/>
      <c r="X67" s="729"/>
      <c r="Y67" s="729"/>
      <c r="Z67" s="729"/>
      <c r="AA67" s="729"/>
      <c r="AB67" s="729"/>
    </row>
    <row r="68" spans="1:28" s="7" customFormat="1">
      <c r="A68" s="216"/>
      <c r="B68" s="216"/>
      <c r="C68" s="216"/>
      <c r="D68" s="216"/>
      <c r="E68" s="216"/>
      <c r="F68" s="216"/>
      <c r="G68" s="216"/>
      <c r="H68" s="216"/>
      <c r="I68" s="216"/>
      <c r="J68" s="216"/>
      <c r="K68" s="216"/>
      <c r="L68" s="216"/>
      <c r="M68" s="216"/>
      <c r="N68" s="216"/>
      <c r="O68" s="216"/>
      <c r="P68" s="216"/>
      <c r="Q68" s="729"/>
      <c r="R68" s="729"/>
      <c r="S68" s="729"/>
      <c r="T68" s="729"/>
      <c r="U68" s="729"/>
      <c r="V68" s="729"/>
      <c r="W68" s="729"/>
      <c r="X68" s="729"/>
      <c r="Y68" s="729"/>
      <c r="Z68" s="729"/>
      <c r="AA68" s="729"/>
      <c r="AB68" s="729"/>
    </row>
    <row r="69" spans="1:28" s="7" customFormat="1">
      <c r="A69" s="216"/>
      <c r="B69" s="216"/>
      <c r="C69" s="216"/>
      <c r="D69" s="216"/>
      <c r="E69" s="216"/>
      <c r="F69" s="216"/>
      <c r="G69" s="216"/>
      <c r="H69" s="216"/>
      <c r="I69" s="216"/>
      <c r="J69" s="216"/>
      <c r="K69" s="216"/>
      <c r="L69" s="216"/>
      <c r="M69" s="216"/>
      <c r="N69" s="216"/>
      <c r="O69" s="216"/>
      <c r="P69" s="216"/>
      <c r="Q69" s="729"/>
      <c r="R69" s="729"/>
      <c r="S69" s="729"/>
      <c r="T69" s="729"/>
      <c r="U69" s="729"/>
      <c r="V69" s="729"/>
      <c r="W69" s="729"/>
      <c r="X69" s="729"/>
      <c r="Y69" s="729"/>
      <c r="Z69" s="729"/>
      <c r="AA69" s="729"/>
      <c r="AB69" s="729"/>
    </row>
    <row r="70" spans="1:28" s="7" customFormat="1">
      <c r="A70" s="216"/>
      <c r="B70" s="216"/>
      <c r="C70" s="216"/>
      <c r="D70" s="216"/>
      <c r="E70" s="216"/>
      <c r="F70" s="216"/>
      <c r="G70" s="216"/>
      <c r="H70" s="216"/>
      <c r="I70" s="216"/>
      <c r="J70" s="216"/>
      <c r="K70" s="216"/>
      <c r="L70" s="216"/>
      <c r="M70" s="216"/>
      <c r="N70" s="216"/>
      <c r="O70" s="216"/>
      <c r="P70" s="216"/>
      <c r="Q70" s="729"/>
      <c r="R70" s="729"/>
      <c r="S70" s="729"/>
      <c r="T70" s="729"/>
      <c r="U70" s="729"/>
      <c r="V70" s="729"/>
      <c r="W70" s="729"/>
      <c r="X70" s="729"/>
      <c r="Y70" s="729"/>
      <c r="Z70" s="729"/>
      <c r="AA70" s="729"/>
      <c r="AB70" s="729"/>
    </row>
    <row r="71" spans="1:28" s="7" customFormat="1">
      <c r="A71" s="216"/>
      <c r="B71" s="216"/>
      <c r="C71" s="216"/>
      <c r="D71" s="216"/>
      <c r="E71" s="216"/>
      <c r="F71" s="216"/>
      <c r="G71" s="216"/>
      <c r="H71" s="216"/>
      <c r="I71" s="216"/>
      <c r="J71" s="216"/>
      <c r="K71" s="216"/>
      <c r="L71" s="216"/>
      <c r="M71" s="216"/>
      <c r="N71" s="216"/>
      <c r="O71" s="216"/>
      <c r="P71" s="216"/>
      <c r="Q71" s="729"/>
      <c r="R71" s="729"/>
      <c r="S71" s="729"/>
      <c r="T71" s="729"/>
      <c r="U71" s="729"/>
      <c r="V71" s="729"/>
      <c r="W71" s="729"/>
      <c r="X71" s="729"/>
      <c r="Y71" s="729"/>
      <c r="Z71" s="729"/>
      <c r="AA71" s="729"/>
      <c r="AB71" s="729"/>
    </row>
    <row r="72" spans="1:28" s="7" customFormat="1">
      <c r="A72" s="216"/>
      <c r="B72" s="216"/>
      <c r="C72" s="216"/>
      <c r="D72" s="216"/>
      <c r="E72" s="216"/>
      <c r="F72" s="216"/>
      <c r="G72" s="216"/>
      <c r="H72" s="216"/>
      <c r="I72" s="216"/>
      <c r="J72" s="216"/>
      <c r="K72" s="216"/>
      <c r="L72" s="216"/>
      <c r="M72" s="216"/>
      <c r="N72" s="216"/>
      <c r="O72" s="216"/>
      <c r="P72" s="216"/>
      <c r="Q72" s="729"/>
      <c r="R72" s="729"/>
      <c r="S72" s="729"/>
      <c r="T72" s="729"/>
      <c r="U72" s="729"/>
      <c r="V72" s="729"/>
      <c r="W72" s="729"/>
      <c r="X72" s="729"/>
      <c r="Y72" s="729"/>
      <c r="Z72" s="729"/>
      <c r="AA72" s="729"/>
      <c r="AB72" s="729"/>
    </row>
    <row r="73" spans="1:28" s="7" customFormat="1">
      <c r="A73" s="216"/>
      <c r="B73" s="216"/>
      <c r="C73" s="216"/>
      <c r="D73" s="216"/>
      <c r="E73" s="216"/>
      <c r="F73" s="216"/>
      <c r="G73" s="216"/>
      <c r="H73" s="216"/>
      <c r="I73" s="216"/>
      <c r="J73" s="216"/>
      <c r="K73" s="216"/>
      <c r="L73" s="216"/>
      <c r="M73" s="216"/>
      <c r="N73" s="216"/>
      <c r="O73" s="216"/>
      <c r="P73" s="216"/>
      <c r="Q73" s="729"/>
      <c r="R73" s="729"/>
      <c r="S73" s="729"/>
      <c r="T73" s="729"/>
      <c r="U73" s="729"/>
      <c r="V73" s="729"/>
      <c r="W73" s="729"/>
      <c r="X73" s="729"/>
      <c r="Y73" s="729"/>
      <c r="Z73" s="729"/>
      <c r="AA73" s="729"/>
      <c r="AB73" s="729"/>
    </row>
    <row r="74" spans="1:28" s="8" customFormat="1">
      <c r="A74" s="46" t="s">
        <v>595</v>
      </c>
      <c r="B74" s="583"/>
      <c r="C74" s="583"/>
      <c r="D74" s="583"/>
      <c r="E74" s="583"/>
      <c r="F74" s="583"/>
      <c r="G74" s="583"/>
      <c r="H74" s="583"/>
      <c r="I74" s="583"/>
      <c r="J74" s="583"/>
      <c r="K74" s="583"/>
      <c r="L74" s="583"/>
      <c r="M74" s="583"/>
      <c r="N74" s="583"/>
      <c r="O74" s="583"/>
      <c r="P74" s="583"/>
      <c r="Q74" s="706"/>
      <c r="R74" s="706"/>
      <c r="S74" s="706"/>
      <c r="T74" s="706"/>
      <c r="U74" s="706"/>
      <c r="V74" s="706"/>
      <c r="W74" s="706"/>
      <c r="X74" s="706"/>
      <c r="Y74" s="706"/>
      <c r="Z74" s="706"/>
      <c r="AA74" s="706"/>
      <c r="AB74" s="706"/>
    </row>
    <row r="75" spans="1:28" s="8" customFormat="1">
      <c r="A75" s="46" t="s">
        <v>596</v>
      </c>
      <c r="B75" s="583"/>
      <c r="C75" s="583"/>
      <c r="D75" s="583"/>
      <c r="E75" s="583"/>
      <c r="F75" s="583"/>
      <c r="G75" s="583"/>
      <c r="H75" s="583"/>
      <c r="I75" s="583"/>
      <c r="J75" s="583"/>
      <c r="K75" s="583"/>
      <c r="L75" s="583"/>
      <c r="M75" s="583"/>
      <c r="N75" s="583"/>
      <c r="O75" s="583"/>
      <c r="P75" s="583"/>
      <c r="Q75" s="706"/>
      <c r="R75" s="706"/>
      <c r="S75" s="706"/>
      <c r="T75" s="706"/>
      <c r="U75" s="706"/>
      <c r="V75" s="706"/>
      <c r="W75" s="706"/>
      <c r="X75" s="706"/>
      <c r="Y75" s="706"/>
      <c r="Z75" s="706"/>
      <c r="AA75" s="706"/>
      <c r="AB75" s="706"/>
    </row>
    <row r="76" spans="1:28" s="8" customFormat="1">
      <c r="A76" s="583" t="s">
        <v>572</v>
      </c>
      <c r="B76" s="583" t="s">
        <v>468</v>
      </c>
      <c r="C76" s="583" t="s">
        <v>469</v>
      </c>
      <c r="D76" s="583" t="s">
        <v>470</v>
      </c>
      <c r="E76" s="583" t="s">
        <v>471</v>
      </c>
      <c r="F76" s="583" t="s">
        <v>472</v>
      </c>
      <c r="G76" s="583" t="s">
        <v>473</v>
      </c>
      <c r="H76" s="583" t="s">
        <v>474</v>
      </c>
      <c r="I76" s="583" t="s">
        <v>475</v>
      </c>
      <c r="J76" s="583" t="s">
        <v>476</v>
      </c>
      <c r="K76" s="583" t="s">
        <v>477</v>
      </c>
      <c r="L76" s="583" t="s">
        <v>478</v>
      </c>
      <c r="M76" s="583" t="s">
        <v>479</v>
      </c>
      <c r="N76" s="583" t="s">
        <v>597</v>
      </c>
      <c r="O76" s="583" t="s">
        <v>598</v>
      </c>
      <c r="P76" s="583"/>
      <c r="Q76" s="706"/>
      <c r="R76" s="706"/>
      <c r="S76" s="706"/>
      <c r="T76" s="706"/>
      <c r="U76" s="706"/>
      <c r="V76" s="706"/>
      <c r="W76" s="706"/>
      <c r="X76" s="706"/>
      <c r="Y76" s="706"/>
      <c r="Z76" s="706"/>
      <c r="AA76" s="706"/>
      <c r="AB76" s="706"/>
    </row>
    <row r="77" spans="1:28" s="8" customFormat="1">
      <c r="A77" s="583" t="s">
        <v>599</v>
      </c>
      <c r="B77" s="583">
        <v>5.3</v>
      </c>
      <c r="C77" s="583">
        <v>5.5</v>
      </c>
      <c r="D77" s="583">
        <v>7</v>
      </c>
      <c r="E77" s="583">
        <v>8.3000000000000007</v>
      </c>
      <c r="F77" s="583">
        <v>11</v>
      </c>
      <c r="G77" s="583">
        <v>13.5</v>
      </c>
      <c r="H77" s="583">
        <v>15.5</v>
      </c>
      <c r="I77" s="583">
        <v>15.2</v>
      </c>
      <c r="J77" s="583">
        <v>13.3</v>
      </c>
      <c r="K77" s="583">
        <v>10.4</v>
      </c>
      <c r="L77" s="583">
        <v>7.5</v>
      </c>
      <c r="M77" s="583">
        <v>6</v>
      </c>
      <c r="N77" s="584">
        <f>AVERAGE(B77:F77,K77:M77)</f>
        <v>7.625</v>
      </c>
      <c r="O77" s="584">
        <f>AVERAGE(B77:M77)</f>
        <v>9.875</v>
      </c>
      <c r="P77" s="584"/>
      <c r="Q77" s="706"/>
      <c r="R77" s="706"/>
      <c r="S77" s="706"/>
      <c r="T77" s="706"/>
      <c r="U77" s="706"/>
      <c r="V77" s="706"/>
      <c r="W77" s="706"/>
      <c r="X77" s="706"/>
      <c r="Y77" s="706"/>
      <c r="Z77" s="706"/>
      <c r="AA77" s="706"/>
      <c r="AB77" s="706"/>
    </row>
    <row r="78" spans="1:28" s="8" customFormat="1">
      <c r="A78" s="583"/>
      <c r="B78" s="518"/>
      <c r="C78" s="583"/>
      <c r="D78" s="583"/>
      <c r="E78" s="583"/>
      <c r="F78" s="583"/>
      <c r="G78" s="583"/>
      <c r="H78" s="583"/>
      <c r="I78" s="583"/>
      <c r="J78" s="583"/>
      <c r="K78" s="583"/>
      <c r="L78" s="583"/>
      <c r="M78" s="583"/>
      <c r="N78" s="584"/>
      <c r="O78" s="584"/>
      <c r="P78" s="584"/>
      <c r="Q78" s="706"/>
      <c r="R78" s="706"/>
      <c r="S78" s="706"/>
      <c r="T78" s="706"/>
      <c r="U78" s="706"/>
      <c r="V78" s="706"/>
      <c r="W78" s="706"/>
      <c r="X78" s="706"/>
      <c r="Y78" s="706"/>
      <c r="Z78" s="706"/>
      <c r="AA78" s="706"/>
      <c r="AB78" s="706"/>
    </row>
    <row r="79" spans="1:28" s="8" customFormat="1">
      <c r="A79" s="583"/>
      <c r="B79" s="583"/>
      <c r="C79" s="583"/>
      <c r="D79" s="583"/>
      <c r="E79" s="583"/>
      <c r="F79" s="583"/>
      <c r="G79" s="583"/>
      <c r="H79" s="583"/>
      <c r="I79" s="583"/>
      <c r="J79" s="583"/>
      <c r="K79" s="583"/>
      <c r="L79" s="583"/>
      <c r="M79" s="583"/>
      <c r="N79" s="583"/>
      <c r="O79" s="583"/>
      <c r="P79" s="583"/>
      <c r="Q79" s="706"/>
      <c r="R79" s="706"/>
      <c r="S79" s="706"/>
      <c r="T79" s="706"/>
      <c r="U79" s="706"/>
      <c r="V79" s="706"/>
      <c r="W79" s="706"/>
      <c r="X79" s="706"/>
      <c r="Y79" s="706"/>
      <c r="Z79" s="706"/>
      <c r="AA79" s="706"/>
      <c r="AB79" s="706"/>
    </row>
    <row r="80" spans="1:28" s="8" customFormat="1">
      <c r="A80" s="13" t="s">
        <v>600</v>
      </c>
      <c r="B80" s="583"/>
      <c r="C80" s="583"/>
      <c r="D80" s="583"/>
      <c r="E80" s="583"/>
      <c r="F80" s="583"/>
      <c r="G80" s="583"/>
      <c r="H80" s="583"/>
      <c r="I80" s="583"/>
      <c r="J80" s="583"/>
      <c r="K80" s="583"/>
      <c r="L80" s="583"/>
      <c r="M80" s="583"/>
      <c r="N80" s="583"/>
      <c r="O80" s="583"/>
      <c r="P80" s="583"/>
      <c r="Q80" s="706"/>
      <c r="R80" s="706"/>
      <c r="S80" s="706"/>
      <c r="T80" s="706"/>
      <c r="U80" s="706"/>
      <c r="V80" s="706"/>
      <c r="W80" s="706"/>
      <c r="X80" s="706"/>
      <c r="Y80" s="706"/>
      <c r="Z80" s="706"/>
      <c r="AA80" s="706"/>
      <c r="AB80" s="706"/>
    </row>
    <row r="81" spans="1:32" s="8" customFormat="1">
      <c r="A81" s="583" t="s">
        <v>572</v>
      </c>
      <c r="B81" s="583" t="s">
        <v>468</v>
      </c>
      <c r="C81" s="583" t="s">
        <v>469</v>
      </c>
      <c r="D81" s="583" t="s">
        <v>470</v>
      </c>
      <c r="E81" s="583" t="s">
        <v>471</v>
      </c>
      <c r="F81" s="583" t="s">
        <v>472</v>
      </c>
      <c r="G81" s="583" t="s">
        <v>473</v>
      </c>
      <c r="H81" s="583" t="s">
        <v>474</v>
      </c>
      <c r="I81" s="583" t="s">
        <v>475</v>
      </c>
      <c r="J81" s="583" t="s">
        <v>476</v>
      </c>
      <c r="K81" s="583" t="s">
        <v>477</v>
      </c>
      <c r="L81" s="583" t="s">
        <v>478</v>
      </c>
      <c r="M81" s="583" t="s">
        <v>479</v>
      </c>
      <c r="N81" s="583" t="s">
        <v>597</v>
      </c>
      <c r="O81" s="583" t="s">
        <v>598</v>
      </c>
      <c r="P81" s="583"/>
      <c r="Q81" s="706"/>
      <c r="R81" s="706"/>
      <c r="S81" s="706"/>
      <c r="T81" s="706"/>
      <c r="U81" s="706"/>
      <c r="V81" s="706"/>
      <c r="W81" s="706"/>
      <c r="X81" s="706"/>
      <c r="Y81" s="706"/>
      <c r="Z81" s="706"/>
      <c r="AA81" s="706"/>
      <c r="AB81" s="706"/>
    </row>
    <row r="82" spans="1:32" s="8" customFormat="1">
      <c r="A82" s="583" t="s">
        <v>205</v>
      </c>
      <c r="B82" s="585">
        <v>0.27</v>
      </c>
      <c r="C82" s="585">
        <v>0.51</v>
      </c>
      <c r="D82" s="585">
        <v>0.91</v>
      </c>
      <c r="E82" s="585">
        <v>1.36</v>
      </c>
      <c r="F82" s="585">
        <v>1.89</v>
      </c>
      <c r="G82" s="585">
        <v>2.12</v>
      </c>
      <c r="H82" s="585">
        <v>1.94</v>
      </c>
      <c r="I82" s="585">
        <v>1.57</v>
      </c>
      <c r="J82" s="585">
        <v>1.06</v>
      </c>
      <c r="K82" s="585">
        <v>0.61</v>
      </c>
      <c r="L82" s="585">
        <v>0.33</v>
      </c>
      <c r="M82" s="585">
        <v>0.2</v>
      </c>
      <c r="N82" s="585">
        <f t="shared" ref="N82:N87" si="12">AVERAGE(B82:F82,K82:M82)</f>
        <v>0.76</v>
      </c>
      <c r="O82" s="585">
        <f t="shared" ref="O82:O87" si="13">AVERAGE(B82:M82)</f>
        <v>1.0641666666666667</v>
      </c>
      <c r="P82" s="585"/>
      <c r="Q82" s="706"/>
      <c r="R82" s="706"/>
      <c r="S82" s="706"/>
      <c r="T82" s="706"/>
      <c r="U82" s="706"/>
      <c r="V82" s="706"/>
      <c r="W82" s="706"/>
      <c r="X82" s="706"/>
      <c r="Y82" s="706"/>
      <c r="Z82" s="706"/>
      <c r="AA82" s="706"/>
      <c r="AB82" s="706"/>
    </row>
    <row r="83" spans="1:32" s="8" customFormat="1">
      <c r="A83" s="583" t="s">
        <v>233</v>
      </c>
      <c r="B83" s="585">
        <v>0.27</v>
      </c>
      <c r="C83" s="585">
        <v>0.53</v>
      </c>
      <c r="D83" s="585">
        <v>1.02</v>
      </c>
      <c r="E83" s="585">
        <v>1.68</v>
      </c>
      <c r="F83" s="585">
        <v>2.34</v>
      </c>
      <c r="G83" s="585">
        <v>2.4900000000000002</v>
      </c>
      <c r="H83" s="585">
        <v>2.2799999999999998</v>
      </c>
      <c r="I83" s="585">
        <v>1.92</v>
      </c>
      <c r="J83" s="585">
        <v>1.29</v>
      </c>
      <c r="K83" s="585">
        <v>0.69</v>
      </c>
      <c r="L83" s="585">
        <v>0.33</v>
      </c>
      <c r="M83" s="585">
        <v>0.2</v>
      </c>
      <c r="N83" s="585">
        <f t="shared" si="12"/>
        <v>0.88249999999999995</v>
      </c>
      <c r="O83" s="585">
        <f t="shared" si="13"/>
        <v>1.2533333333333332</v>
      </c>
      <c r="P83" s="585"/>
      <c r="Q83" s="706"/>
      <c r="R83" s="706"/>
      <c r="S83" s="706"/>
      <c r="T83" s="706"/>
      <c r="U83" s="706"/>
      <c r="V83" s="706"/>
      <c r="W83" s="706"/>
      <c r="X83" s="706"/>
      <c r="Y83" s="706"/>
      <c r="Z83" s="706"/>
      <c r="AA83" s="706"/>
      <c r="AB83" s="706"/>
    </row>
    <row r="84" spans="1:32" s="8" customFormat="1">
      <c r="A84" s="583" t="s">
        <v>574</v>
      </c>
      <c r="B84" s="585">
        <v>0.44</v>
      </c>
      <c r="C84" s="585">
        <v>0.88</v>
      </c>
      <c r="D84" s="585">
        <v>1.51</v>
      </c>
      <c r="E84" s="585">
        <v>2.2400000000000002</v>
      </c>
      <c r="F84" s="585">
        <v>2.88</v>
      </c>
      <c r="G84" s="585">
        <v>2.9</v>
      </c>
      <c r="H84" s="585">
        <v>2.68</v>
      </c>
      <c r="I84" s="585">
        <v>2.44</v>
      </c>
      <c r="J84" s="585">
        <v>1.87</v>
      </c>
      <c r="K84" s="585">
        <v>1.18</v>
      </c>
      <c r="L84" s="585">
        <v>0.56000000000000005</v>
      </c>
      <c r="M84" s="585">
        <v>0.37</v>
      </c>
      <c r="N84" s="585">
        <f t="shared" si="12"/>
        <v>1.2575000000000001</v>
      </c>
      <c r="O84" s="585">
        <f t="shared" si="13"/>
        <v>1.6624999999999999</v>
      </c>
      <c r="P84" s="585"/>
      <c r="Q84" s="706"/>
      <c r="R84" s="706"/>
      <c r="S84" s="706"/>
      <c r="T84" s="706"/>
      <c r="U84" s="706"/>
      <c r="V84" s="706"/>
      <c r="W84" s="706"/>
      <c r="X84" s="706"/>
      <c r="Y84" s="706"/>
      <c r="Z84" s="706"/>
      <c r="AA84" s="706"/>
      <c r="AB84" s="706"/>
    </row>
    <row r="85" spans="1:32" s="8" customFormat="1">
      <c r="A85" s="583" t="s">
        <v>206</v>
      </c>
      <c r="B85" s="585">
        <v>0.94</v>
      </c>
      <c r="C85" s="585">
        <v>1.53</v>
      </c>
      <c r="D85" s="585">
        <v>2.0499999999999998</v>
      </c>
      <c r="E85" s="585">
        <v>2.6</v>
      </c>
      <c r="F85" s="585">
        <v>3.02</v>
      </c>
      <c r="G85" s="585">
        <v>2.88</v>
      </c>
      <c r="H85" s="585">
        <v>2.74</v>
      </c>
      <c r="I85" s="585">
        <v>2.69</v>
      </c>
      <c r="J85" s="585">
        <v>2.35</v>
      </c>
      <c r="K85" s="585">
        <v>1.84</v>
      </c>
      <c r="L85" s="585">
        <v>1.19</v>
      </c>
      <c r="M85" s="585">
        <v>0.87</v>
      </c>
      <c r="N85" s="585">
        <f t="shared" si="12"/>
        <v>1.7549999999999997</v>
      </c>
      <c r="O85" s="585">
        <f t="shared" si="13"/>
        <v>2.0583333333333336</v>
      </c>
      <c r="P85" s="585"/>
      <c r="Q85" s="706"/>
      <c r="R85" s="706"/>
      <c r="S85" s="706"/>
      <c r="T85" s="706"/>
      <c r="U85" s="706"/>
      <c r="V85" s="706"/>
      <c r="W85" s="706"/>
      <c r="X85" s="706"/>
      <c r="Y85" s="706"/>
      <c r="Z85" s="706"/>
      <c r="AA85" s="706"/>
      <c r="AB85" s="706"/>
    </row>
    <row r="86" spans="1:32" s="8" customFormat="1">
      <c r="A86" s="583" t="s">
        <v>204</v>
      </c>
      <c r="B86" s="585">
        <v>1.22</v>
      </c>
      <c r="C86" s="585">
        <v>1.93</v>
      </c>
      <c r="D86" s="585">
        <v>2.37</v>
      </c>
      <c r="E86" s="585">
        <v>2.66</v>
      </c>
      <c r="F86" s="585">
        <v>2.86</v>
      </c>
      <c r="G86" s="585">
        <v>2.67</v>
      </c>
      <c r="H86" s="585">
        <v>2.59</v>
      </c>
      <c r="I86" s="585">
        <v>2.66</v>
      </c>
      <c r="J86" s="585">
        <v>2.56</v>
      </c>
      <c r="K86" s="585">
        <v>2.23</v>
      </c>
      <c r="L86" s="585">
        <v>1.55</v>
      </c>
      <c r="M86" s="585">
        <v>1.1499999999999999</v>
      </c>
      <c r="N86" s="585">
        <f t="shared" si="12"/>
        <v>1.9962500000000001</v>
      </c>
      <c r="O86" s="585">
        <f t="shared" si="13"/>
        <v>2.2041666666666662</v>
      </c>
      <c r="P86" s="585"/>
      <c r="Q86" s="706"/>
      <c r="R86" s="706"/>
      <c r="S86" s="706"/>
      <c r="T86" s="706"/>
      <c r="U86" s="706"/>
      <c r="V86" s="706"/>
      <c r="W86" s="706"/>
      <c r="X86" s="706"/>
      <c r="Y86" s="706"/>
      <c r="Z86" s="706"/>
      <c r="AA86" s="706"/>
      <c r="AB86" s="706"/>
    </row>
    <row r="87" spans="1:32" s="8" customFormat="1">
      <c r="A87" s="583" t="s">
        <v>575</v>
      </c>
      <c r="B87" s="585">
        <v>0.64</v>
      </c>
      <c r="C87" s="585">
        <v>1.31</v>
      </c>
      <c r="D87" s="585">
        <v>2.31</v>
      </c>
      <c r="E87" s="585">
        <v>3.58</v>
      </c>
      <c r="F87" s="585">
        <v>4.7699999999999996</v>
      </c>
      <c r="G87" s="585">
        <v>4.8600000000000003</v>
      </c>
      <c r="H87" s="585">
        <v>4.5199999999999996</v>
      </c>
      <c r="I87" s="585">
        <v>3.96</v>
      </c>
      <c r="J87" s="585">
        <v>2.81</v>
      </c>
      <c r="K87" s="585">
        <v>1.64</v>
      </c>
      <c r="L87" s="585">
        <v>0.84</v>
      </c>
      <c r="M87" s="585">
        <v>0.5</v>
      </c>
      <c r="N87" s="585">
        <f t="shared" si="12"/>
        <v>1.94875</v>
      </c>
      <c r="O87" s="585">
        <f t="shared" si="13"/>
        <v>2.645</v>
      </c>
      <c r="P87" s="585"/>
      <c r="Q87" s="706"/>
      <c r="R87" s="706"/>
      <c r="S87" s="706"/>
      <c r="T87" s="706"/>
      <c r="U87" s="706"/>
      <c r="V87" s="706"/>
      <c r="W87" s="706"/>
      <c r="X87" s="706"/>
      <c r="Y87" s="706"/>
      <c r="Z87" s="706"/>
      <c r="AA87" s="706"/>
      <c r="AB87" s="706"/>
    </row>
    <row r="88" spans="1:32" s="8" customFormat="1">
      <c r="A88" s="583"/>
      <c r="B88" s="583"/>
      <c r="C88" s="583"/>
      <c r="D88" s="583"/>
      <c r="E88" s="583"/>
      <c r="F88" s="583"/>
      <c r="G88" s="583"/>
      <c r="H88" s="583"/>
      <c r="I88" s="583"/>
      <c r="J88" s="583"/>
      <c r="K88" s="583"/>
      <c r="L88" s="583"/>
      <c r="M88" s="583"/>
      <c r="N88" s="583"/>
      <c r="O88" s="583"/>
      <c r="P88" s="583"/>
      <c r="Q88" s="706"/>
      <c r="R88" s="706"/>
      <c r="S88" s="706"/>
      <c r="T88" s="706"/>
      <c r="U88" s="706"/>
      <c r="V88" s="706"/>
      <c r="W88" s="706"/>
      <c r="X88" s="706"/>
      <c r="Y88" s="706"/>
      <c r="Z88" s="706"/>
      <c r="AA88" s="706"/>
      <c r="AB88" s="706"/>
    </row>
    <row r="89" spans="1:32" s="8" customFormat="1">
      <c r="A89" s="583" t="s">
        <v>601</v>
      </c>
      <c r="B89" s="583"/>
      <c r="C89" s="583"/>
      <c r="D89" s="583"/>
      <c r="E89" s="586">
        <v>243</v>
      </c>
      <c r="F89" s="583"/>
      <c r="G89" s="583"/>
      <c r="H89" s="583"/>
      <c r="I89" s="583"/>
      <c r="J89" s="583"/>
      <c r="K89" s="583"/>
      <c r="L89" s="583"/>
      <c r="M89" s="583"/>
      <c r="N89" s="583"/>
      <c r="O89" s="583"/>
      <c r="P89" s="583"/>
      <c r="Q89" s="706"/>
      <c r="R89" s="706"/>
      <c r="S89" s="706"/>
      <c r="T89" s="706"/>
      <c r="U89" s="706"/>
      <c r="V89" s="706"/>
      <c r="W89" s="706"/>
      <c r="X89" s="706"/>
      <c r="Y89" s="706"/>
      <c r="Z89" s="706"/>
      <c r="AA89" s="706"/>
      <c r="AB89" s="706"/>
    </row>
    <row r="90" spans="1:32" s="8" customFormat="1">
      <c r="A90" s="174"/>
      <c r="B90" s="174"/>
      <c r="C90" s="174"/>
      <c r="D90" s="174"/>
      <c r="E90" s="174"/>
      <c r="F90" s="174"/>
      <c r="G90" s="174"/>
      <c r="H90" s="174"/>
      <c r="I90" s="174"/>
      <c r="J90" s="174"/>
      <c r="K90" s="174"/>
      <c r="L90" s="174"/>
      <c r="M90" s="174"/>
      <c r="N90" s="174"/>
      <c r="O90" s="174"/>
      <c r="P90" s="174"/>
      <c r="Q90" s="706"/>
      <c r="R90" s="706"/>
      <c r="S90" s="706"/>
      <c r="T90" s="706"/>
      <c r="U90" s="706"/>
      <c r="V90" s="706"/>
      <c r="W90" s="706"/>
      <c r="X90" s="706"/>
      <c r="Y90" s="706"/>
      <c r="Z90" s="706"/>
      <c r="AA90" s="706"/>
      <c r="AB90" s="706"/>
    </row>
    <row r="91" spans="1:32" s="8" customFormat="1">
      <c r="A91" s="46" t="s">
        <v>602</v>
      </c>
      <c r="B91" s="174"/>
      <c r="C91" s="174"/>
      <c r="D91" s="174"/>
      <c r="E91" s="174"/>
      <c r="F91" s="174"/>
      <c r="G91" s="174"/>
      <c r="H91" s="174"/>
      <c r="I91" s="174"/>
      <c r="J91" s="174"/>
      <c r="K91" s="174"/>
      <c r="L91" s="174"/>
      <c r="M91" s="174"/>
      <c r="N91" s="174"/>
      <c r="O91" s="174"/>
      <c r="P91" s="174"/>
      <c r="Q91" s="706"/>
      <c r="R91" s="706"/>
      <c r="S91" s="706"/>
      <c r="T91" s="706"/>
      <c r="U91" s="706"/>
      <c r="V91" s="706"/>
      <c r="W91" s="706"/>
      <c r="X91" s="706"/>
      <c r="Y91" s="706"/>
      <c r="Z91" s="706"/>
      <c r="AA91" s="706"/>
      <c r="AB91" s="706"/>
    </row>
    <row r="92" spans="1:32" s="8" customFormat="1">
      <c r="A92" s="583" t="s">
        <v>319</v>
      </c>
      <c r="B92" s="174"/>
      <c r="C92" s="174" t="s">
        <v>603</v>
      </c>
      <c r="D92" s="174" t="s">
        <v>604</v>
      </c>
      <c r="E92" s="174"/>
      <c r="F92" s="174"/>
      <c r="G92" s="174"/>
      <c r="H92" s="174"/>
      <c r="I92" s="174"/>
      <c r="J92" s="174"/>
      <c r="K92" s="174"/>
      <c r="L92" s="174"/>
      <c r="M92" s="174"/>
      <c r="N92" s="174"/>
      <c r="O92" s="174"/>
      <c r="P92" s="174"/>
      <c r="Q92" s="706"/>
      <c r="R92" s="706"/>
      <c r="S92" s="706"/>
      <c r="T92" s="706"/>
      <c r="U92" s="706"/>
      <c r="V92" s="706"/>
      <c r="W92" s="706"/>
      <c r="X92" s="706"/>
      <c r="Y92" s="706"/>
      <c r="Z92" s="706"/>
      <c r="AA92" s="706"/>
      <c r="AB92" s="706"/>
      <c r="AF92" s="473" t="s">
        <v>2</v>
      </c>
    </row>
    <row r="93" spans="1:32" s="8" customFormat="1">
      <c r="A93" s="583"/>
      <c r="B93" s="174"/>
      <c r="C93" s="174" t="s">
        <v>605</v>
      </c>
      <c r="D93" s="216" t="s">
        <v>550</v>
      </c>
      <c r="E93" s="174" t="s">
        <v>551</v>
      </c>
      <c r="F93" s="174"/>
      <c r="G93" s="174"/>
      <c r="H93" s="174"/>
      <c r="I93" s="174"/>
      <c r="J93" s="174"/>
      <c r="K93" s="174"/>
      <c r="L93" s="174"/>
      <c r="M93" s="174"/>
      <c r="N93" s="174"/>
      <c r="O93" s="174"/>
      <c r="P93" s="174"/>
      <c r="Q93" s="706"/>
      <c r="R93" s="706"/>
      <c r="S93" s="706"/>
      <c r="T93" s="706"/>
      <c r="U93" s="706"/>
      <c r="V93" s="706"/>
      <c r="W93" s="706"/>
      <c r="X93" s="706"/>
      <c r="Y93" s="706"/>
      <c r="Z93" s="706"/>
      <c r="AA93" s="706"/>
      <c r="AB93" s="706"/>
    </row>
    <row r="94" spans="1:32" s="8" customFormat="1">
      <c r="A94" s="174" t="s">
        <v>606</v>
      </c>
      <c r="B94" s="174"/>
      <c r="C94" s="174">
        <v>0</v>
      </c>
      <c r="D94" s="516">
        <v>7.0000000000000007E-2</v>
      </c>
      <c r="E94" s="516">
        <v>7.0000000000000007E-2</v>
      </c>
      <c r="F94" s="174"/>
      <c r="G94" s="174"/>
      <c r="H94" s="174"/>
      <c r="I94" s="174"/>
      <c r="J94" s="174"/>
      <c r="K94" s="174"/>
      <c r="L94" s="174"/>
      <c r="M94" s="174"/>
      <c r="N94" s="174"/>
      <c r="O94" s="174"/>
      <c r="P94" s="174"/>
      <c r="Q94" s="706"/>
      <c r="R94" s="706"/>
      <c r="S94" s="706"/>
      <c r="T94" s="706"/>
      <c r="U94" s="706"/>
      <c r="V94" s="706"/>
      <c r="W94" s="706"/>
      <c r="X94" s="706"/>
      <c r="Y94" s="706"/>
      <c r="Z94" s="706"/>
      <c r="AA94" s="706"/>
      <c r="AB94" s="706"/>
    </row>
    <row r="95" spans="1:32" s="8" customFormat="1">
      <c r="A95" s="174" t="s">
        <v>607</v>
      </c>
      <c r="B95" s="174"/>
      <c r="C95" s="174">
        <v>0.5</v>
      </c>
      <c r="D95" s="516">
        <v>0.14000000000000001</v>
      </c>
      <c r="E95" s="516">
        <v>0.09</v>
      </c>
      <c r="F95" s="174"/>
      <c r="G95" s="174"/>
      <c r="H95" s="174"/>
      <c r="I95" s="174"/>
      <c r="J95" s="174"/>
      <c r="K95" s="174"/>
      <c r="L95" s="174"/>
      <c r="M95" s="174"/>
      <c r="N95" s="174"/>
      <c r="O95" s="174"/>
      <c r="P95" s="174"/>
      <c r="Q95" s="706"/>
      <c r="R95" s="706"/>
      <c r="S95" s="706"/>
      <c r="T95" s="706"/>
      <c r="U95" s="706"/>
      <c r="V95" s="706"/>
      <c r="W95" s="706"/>
      <c r="X95" s="706"/>
      <c r="Y95" s="706"/>
      <c r="Z95" s="706"/>
      <c r="AA95" s="706"/>
      <c r="AB95" s="706"/>
    </row>
    <row r="96" spans="1:32" s="8" customFormat="1">
      <c r="A96" s="174" t="s">
        <v>549</v>
      </c>
      <c r="B96" s="174"/>
      <c r="C96" s="174">
        <v>1</v>
      </c>
      <c r="D96" s="516">
        <v>0.2</v>
      </c>
      <c r="E96" s="516">
        <v>0.11</v>
      </c>
      <c r="F96" s="174"/>
      <c r="G96" s="174"/>
      <c r="H96" s="174"/>
      <c r="I96" s="174"/>
      <c r="J96" s="174"/>
      <c r="K96" s="174"/>
      <c r="L96" s="174"/>
      <c r="M96" s="174"/>
      <c r="N96" s="174"/>
      <c r="O96" s="174"/>
      <c r="P96" s="174"/>
      <c r="Q96" s="706"/>
      <c r="R96" s="706"/>
      <c r="S96" s="706"/>
      <c r="T96" s="706"/>
      <c r="U96" s="706"/>
      <c r="V96" s="706"/>
      <c r="W96" s="706"/>
      <c r="X96" s="706"/>
      <c r="Y96" s="706"/>
      <c r="Z96" s="706"/>
      <c r="AA96" s="706"/>
      <c r="AB96" s="706"/>
    </row>
    <row r="97" spans="1:28" s="8" customFormat="1">
      <c r="A97" s="174" t="s">
        <v>608</v>
      </c>
      <c r="B97" s="174"/>
      <c r="C97" s="174">
        <v>2</v>
      </c>
      <c r="D97" s="516">
        <v>0.32</v>
      </c>
      <c r="E97" s="516">
        <v>0.15</v>
      </c>
      <c r="F97" s="174"/>
      <c r="G97" s="174"/>
      <c r="H97" s="174"/>
      <c r="I97" s="174"/>
      <c r="J97" s="174"/>
      <c r="K97" s="174"/>
      <c r="L97" s="174"/>
      <c r="M97" s="174"/>
      <c r="N97" s="174"/>
      <c r="O97" s="174"/>
      <c r="P97" s="174"/>
      <c r="Q97" s="706"/>
      <c r="R97" s="706"/>
      <c r="S97" s="706"/>
      <c r="T97" s="706"/>
      <c r="U97" s="706"/>
      <c r="V97" s="706"/>
      <c r="W97" s="706"/>
      <c r="X97" s="706"/>
      <c r="Y97" s="706"/>
      <c r="Z97" s="706"/>
      <c r="AA97" s="706"/>
      <c r="AB97" s="706"/>
    </row>
    <row r="98" spans="1:28" s="8" customFormat="1">
      <c r="A98" s="174" t="s">
        <v>609</v>
      </c>
      <c r="B98" s="174"/>
      <c r="C98" s="174">
        <v>3.5</v>
      </c>
      <c r="D98" s="516">
        <v>0.5</v>
      </c>
      <c r="E98" s="516">
        <v>0.2</v>
      </c>
      <c r="F98" s="174"/>
      <c r="G98" s="174"/>
      <c r="H98" s="174"/>
      <c r="I98" s="174"/>
      <c r="J98" s="174"/>
      <c r="K98" s="174"/>
      <c r="L98" s="174"/>
      <c r="M98" s="174"/>
      <c r="N98" s="174"/>
      <c r="O98" s="174"/>
      <c r="P98" s="174"/>
      <c r="Q98" s="706"/>
      <c r="R98" s="706"/>
      <c r="S98" s="706"/>
      <c r="T98" s="706"/>
      <c r="U98" s="706"/>
      <c r="V98" s="706"/>
      <c r="W98" s="706"/>
      <c r="X98" s="706"/>
      <c r="Y98" s="706"/>
      <c r="Z98" s="706"/>
      <c r="AA98" s="706"/>
      <c r="AB98" s="706"/>
    </row>
    <row r="99" spans="1:28">
      <c r="A99" s="174" t="s">
        <v>103</v>
      </c>
      <c r="B99" s="14"/>
      <c r="C99" s="14">
        <f>C96</f>
        <v>1</v>
      </c>
      <c r="D99" s="40">
        <f>D96</f>
        <v>0.2</v>
      </c>
      <c r="E99" s="40">
        <f>E96</f>
        <v>0.11</v>
      </c>
      <c r="F99" s="14"/>
      <c r="G99" s="14"/>
      <c r="H99" s="14"/>
      <c r="I99" s="14"/>
      <c r="J99" s="14"/>
      <c r="K99" s="14"/>
      <c r="L99" s="14"/>
      <c r="M99" s="14"/>
      <c r="N99" s="14"/>
      <c r="O99" s="14"/>
      <c r="P99" s="14"/>
    </row>
    <row r="100" spans="1:28">
      <c r="A100" s="14"/>
      <c r="B100" s="14"/>
      <c r="C100" s="14"/>
      <c r="D100" s="14"/>
      <c r="E100" s="14"/>
      <c r="F100" s="14"/>
      <c r="G100" s="14"/>
      <c r="H100" s="14"/>
      <c r="I100" s="14"/>
      <c r="J100" s="14"/>
      <c r="K100" s="14"/>
      <c r="L100" s="14"/>
      <c r="M100" s="14"/>
      <c r="N100" s="14"/>
      <c r="O100" s="14"/>
      <c r="P100" s="14"/>
    </row>
    <row r="101" spans="1:28">
      <c r="A101" s="36"/>
      <c r="B101" s="14"/>
      <c r="C101" s="14"/>
      <c r="D101" s="14"/>
      <c r="E101" s="14"/>
      <c r="F101" s="14"/>
      <c r="G101" s="14"/>
      <c r="H101" s="14"/>
      <c r="I101" s="14"/>
      <c r="J101" s="14"/>
      <c r="K101" s="14"/>
      <c r="L101" s="14"/>
      <c r="M101" s="14"/>
      <c r="N101" s="14"/>
      <c r="O101" s="14"/>
      <c r="P101" s="14"/>
    </row>
  </sheetData>
  <sheetProtection algorithmName="SHA-512" hashValue="RV+3ntDWDafR8ysjfJbgFZ5SZcgM5/IZidP2q0twIaEayF6TEQDvi90gI8iOEdeGoni95E2R+XydRgx2jaxH8g==" saltValue="amxjlx4D5M3yfeuZsE43uw==" spinCount="100000" sheet="1" objects="1" scenarios="1"/>
  <mergeCells count="1">
    <mergeCell ref="E9:F9"/>
  </mergeCells>
  <phoneticPr fontId="0" type="noConversion"/>
  <dataValidations disablePrompts="1" count="1">
    <dataValidation type="list" allowBlank="1" showInputMessage="1" showErrorMessage="1" errorTitle="DEAP" error="Please select item from drop-down list." sqref="E9:F9" xr:uid="{00000000-0002-0000-0900-000000000000}">
      <formula1>$A$94:$A$99</formula1>
    </dataValidation>
  </dataValidations>
  <pageMargins left="0.4" right="0.47" top="1" bottom="1" header="0.5" footer="0.5"/>
  <pageSetup paperSize="9" scale="65"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Q58"/>
  <sheetViews>
    <sheetView workbookViewId="0">
      <selection activeCell="H26" sqref="H26"/>
    </sheetView>
  </sheetViews>
  <sheetFormatPr defaultRowHeight="12.75"/>
  <cols>
    <col min="1" max="6" width="9.140625" style="8"/>
    <col min="7" max="7" width="9.7109375" style="8" customWidth="1"/>
    <col min="8" max="10" width="9.140625" style="8"/>
    <col min="11" max="11" width="16" style="8" customWidth="1"/>
    <col min="12" max="13" width="9.140625" style="8"/>
    <col min="14" max="14" width="13" style="8" customWidth="1"/>
    <col min="15" max="15" width="9.5703125" style="8" customWidth="1"/>
    <col min="16" max="17" width="9.140625" style="706" customWidth="1"/>
    <col min="18" max="19" width="9.140625" customWidth="1"/>
  </cols>
  <sheetData>
    <row r="1" spans="1:17" s="66" customFormat="1" ht="18" customHeight="1">
      <c r="A1" s="23" t="s">
        <v>610</v>
      </c>
      <c r="B1" s="26"/>
      <c r="C1" s="500"/>
      <c r="D1" s="500"/>
      <c r="E1" s="500"/>
      <c r="F1" s="27"/>
      <c r="G1" s="27"/>
      <c r="H1" s="500"/>
      <c r="I1" s="500"/>
      <c r="J1" s="500"/>
      <c r="K1" s="500"/>
      <c r="L1" s="500"/>
      <c r="M1" s="500"/>
      <c r="N1" s="500"/>
      <c r="O1" s="65"/>
      <c r="P1" s="696" t="s">
        <v>350</v>
      </c>
      <c r="Q1" s="717"/>
    </row>
    <row r="2" spans="1:17">
      <c r="A2" s="174"/>
      <c r="B2" s="174"/>
      <c r="C2" s="174"/>
      <c r="D2" s="174"/>
      <c r="E2" s="174"/>
      <c r="F2" s="174"/>
      <c r="G2" s="174"/>
      <c r="H2" s="174"/>
      <c r="I2" s="174"/>
      <c r="J2" s="174"/>
      <c r="K2" s="174"/>
      <c r="L2" s="174"/>
      <c r="M2" s="174"/>
      <c r="N2" s="174"/>
      <c r="O2" s="174"/>
      <c r="P2" s="697"/>
    </row>
    <row r="3" spans="1:17">
      <c r="A3" s="13" t="s">
        <v>611</v>
      </c>
      <c r="B3" s="174"/>
      <c r="C3" s="174"/>
      <c r="D3" s="174"/>
      <c r="E3" s="174"/>
      <c r="F3" s="174"/>
      <c r="G3" s="174"/>
      <c r="H3" s="587"/>
      <c r="I3" s="174"/>
      <c r="J3" s="174"/>
      <c r="K3" s="174"/>
      <c r="L3" s="174"/>
      <c r="M3" s="174"/>
      <c r="N3" s="174"/>
      <c r="O3" s="174"/>
      <c r="P3" s="697"/>
    </row>
    <row r="4" spans="1:17">
      <c r="A4" s="216" t="s">
        <v>612</v>
      </c>
      <c r="B4" s="174"/>
      <c r="C4" s="174"/>
      <c r="D4" s="174"/>
      <c r="E4" s="174"/>
      <c r="F4" s="174"/>
      <c r="G4" s="174"/>
      <c r="H4" s="588">
        <v>0</v>
      </c>
      <c r="I4" s="587"/>
      <c r="J4" s="174"/>
      <c r="K4" s="174"/>
      <c r="L4" s="174"/>
      <c r="M4" s="174"/>
      <c r="N4" s="174"/>
      <c r="O4" s="174"/>
      <c r="P4" s="696"/>
    </row>
    <row r="5" spans="1:17">
      <c r="A5" s="174" t="s">
        <v>613</v>
      </c>
      <c r="B5" s="174"/>
      <c r="C5" s="174"/>
      <c r="D5" s="174"/>
      <c r="E5" s="174"/>
      <c r="F5" s="174"/>
      <c r="G5" s="174"/>
      <c r="H5" s="512">
        <f>HtUse!$G$3+H4</f>
        <v>21</v>
      </c>
      <c r="I5" s="587"/>
      <c r="J5" s="174"/>
      <c r="K5" s="174"/>
      <c r="L5" s="174"/>
      <c r="M5" s="174"/>
      <c r="N5" s="174"/>
      <c r="O5" s="174"/>
      <c r="P5" s="700">
        <f>HtUse!$G$3</f>
        <v>21</v>
      </c>
    </row>
    <row r="6" spans="1:17">
      <c r="A6" s="216" t="s">
        <v>614</v>
      </c>
      <c r="B6" s="216"/>
      <c r="C6" s="216"/>
      <c r="D6" s="216"/>
      <c r="E6" s="216"/>
      <c r="F6" s="174"/>
      <c r="G6" s="174"/>
      <c r="H6" s="525">
        <v>3</v>
      </c>
      <c r="I6" s="216" t="s">
        <v>615</v>
      </c>
      <c r="J6" s="174"/>
      <c r="K6" s="174"/>
      <c r="L6" s="174"/>
      <c r="M6" s="174"/>
      <c r="N6" s="174"/>
      <c r="O6" s="174"/>
      <c r="P6" s="696">
        <v>2</v>
      </c>
    </row>
    <row r="7" spans="1:17">
      <c r="A7" s="216" t="s">
        <v>616</v>
      </c>
      <c r="B7" s="174"/>
      <c r="C7" s="174"/>
      <c r="D7" s="174"/>
      <c r="E7" s="174"/>
      <c r="F7" s="174"/>
      <c r="G7" s="174"/>
      <c r="H7" s="576">
        <f>HtUse!$G$4+VLOOKUP(ctrlCat,$A$45:$B$48,2,FALSE)+H4</f>
        <v>18</v>
      </c>
      <c r="I7" s="587"/>
      <c r="J7" s="174"/>
      <c r="K7" s="174"/>
      <c r="L7" s="174"/>
      <c r="M7" s="174"/>
      <c r="N7" s="174"/>
      <c r="O7" s="174"/>
      <c r="P7" s="730">
        <f>HtUse!$G$4+VLOOKUP(P6,$A$45:$B$47,2,FALSE)+P4</f>
        <v>18.5</v>
      </c>
    </row>
    <row r="8" spans="1:17">
      <c r="A8" s="216" t="s">
        <v>617</v>
      </c>
      <c r="B8" s="216"/>
      <c r="C8" s="216"/>
      <c r="D8" s="216"/>
      <c r="E8" s="216"/>
      <c r="F8" s="174"/>
      <c r="G8" s="174"/>
      <c r="H8" s="510">
        <f>HtUse!G5*H5+(1-HtUse!G5)*H7</f>
        <v>18.75</v>
      </c>
      <c r="I8" s="216"/>
      <c r="J8" s="174"/>
      <c r="K8" s="174"/>
      <c r="L8" s="174"/>
      <c r="M8" s="174"/>
      <c r="N8" s="174"/>
      <c r="O8" s="174"/>
      <c r="P8" s="702">
        <f>HtUse!G5*P5+(1-HtUse!G5)*P7</f>
        <v>19.125</v>
      </c>
    </row>
    <row r="9" spans="1:17">
      <c r="A9" s="174" t="s">
        <v>618</v>
      </c>
      <c r="B9" s="174"/>
      <c r="C9" s="174"/>
      <c r="D9" s="174"/>
      <c r="E9" s="174"/>
      <c r="F9" s="174"/>
      <c r="G9" s="174"/>
      <c r="H9" s="588">
        <v>1</v>
      </c>
      <c r="I9" s="587" t="s">
        <v>619</v>
      </c>
      <c r="J9" s="174"/>
      <c r="K9" s="174"/>
      <c r="L9" s="174"/>
      <c r="M9" s="174"/>
      <c r="N9" s="174"/>
      <c r="O9" s="174"/>
      <c r="P9" s="696">
        <v>1</v>
      </c>
    </row>
    <row r="10" spans="1:17">
      <c r="A10" s="174"/>
      <c r="B10" s="174" t="s">
        <v>620</v>
      </c>
      <c r="C10" s="174"/>
      <c r="D10" s="174"/>
      <c r="E10" s="174"/>
      <c r="F10" s="174"/>
      <c r="G10" s="174"/>
      <c r="H10" s="589">
        <f>(respons-1)*0.2</f>
        <v>0</v>
      </c>
      <c r="I10" s="587"/>
      <c r="J10" s="174"/>
      <c r="K10" s="174"/>
      <c r="L10" s="174"/>
      <c r="M10" s="174"/>
      <c r="N10" s="174"/>
      <c r="O10" s="174"/>
      <c r="P10" s="696">
        <f>(P9-1)*0.2</f>
        <v>0</v>
      </c>
    </row>
    <row r="11" spans="1:17">
      <c r="A11" s="216" t="s">
        <v>621</v>
      </c>
      <c r="B11" s="174"/>
      <c r="C11" s="174"/>
      <c r="D11" s="174"/>
      <c r="E11" s="174"/>
      <c r="F11" s="174"/>
      <c r="G11" s="174"/>
      <c r="H11" s="572">
        <f>Tem+(H8-Tem)*H10</f>
        <v>7.625</v>
      </c>
      <c r="I11" s="587"/>
      <c r="J11" s="174"/>
      <c r="K11" s="174"/>
      <c r="L11" s="174"/>
      <c r="M11" s="174"/>
      <c r="N11" s="174"/>
      <c r="O11" s="174"/>
      <c r="P11" s="700">
        <f>Tem+(P8-Tem)*P10</f>
        <v>7.625</v>
      </c>
    </row>
    <row r="12" spans="1:17">
      <c r="A12" s="216" t="s">
        <v>622</v>
      </c>
      <c r="B12" s="174"/>
      <c r="C12" s="174"/>
      <c r="D12" s="174"/>
      <c r="E12" s="174"/>
      <c r="F12" s="174"/>
      <c r="G12" s="174"/>
      <c r="H12" s="590">
        <f>H11+HtUse!H29*(H8-H11)</f>
        <v>17.855449982073754</v>
      </c>
      <c r="I12" s="216"/>
      <c r="J12" s="174"/>
      <c r="K12" s="174"/>
      <c r="L12" s="174"/>
      <c r="M12" s="174"/>
      <c r="N12" s="174"/>
      <c r="O12" s="174"/>
      <c r="P12" s="700">
        <f>P11+HtUse!Q29*(P8-P11)</f>
        <v>17.630639272203634</v>
      </c>
    </row>
    <row r="13" spans="1:17">
      <c r="A13" s="174" t="s">
        <v>623</v>
      </c>
      <c r="B13" s="174"/>
      <c r="C13" s="174"/>
      <c r="D13" s="174"/>
      <c r="E13" s="174"/>
      <c r="F13" s="174"/>
      <c r="G13" s="174"/>
      <c r="H13" s="591">
        <f>(H12-HtUse!H28)*hlc*(24*HsLength/1000)</f>
        <v>0</v>
      </c>
      <c r="I13" s="216"/>
      <c r="J13" s="174"/>
      <c r="K13" s="174"/>
      <c r="L13" s="174"/>
      <c r="M13" s="174"/>
      <c r="N13" s="174"/>
      <c r="O13" s="174"/>
      <c r="P13" s="721">
        <f>(P12-HtUse!Q28)*hlcRef*(24*HsLength/1000)</f>
        <v>412.538325701075</v>
      </c>
    </row>
    <row r="14" spans="1:17">
      <c r="A14" s="174" t="s">
        <v>624</v>
      </c>
      <c r="B14" s="174"/>
      <c r="C14" s="174"/>
      <c r="D14" s="174"/>
      <c r="E14" s="174"/>
      <c r="F14" s="174"/>
      <c r="G14" s="174"/>
      <c r="H14" s="570">
        <f>HeatUse+H13</f>
        <v>2872.5876658783163</v>
      </c>
      <c r="I14" s="587"/>
      <c r="J14" s="174"/>
      <c r="K14" s="174"/>
      <c r="L14" s="174"/>
      <c r="M14" s="174"/>
      <c r="N14" s="174"/>
      <c r="O14" s="174"/>
      <c r="P14" s="731">
        <f>HtUse!$Q$57+P13</f>
        <v>6583.1613340425256</v>
      </c>
    </row>
    <row r="15" spans="1:17">
      <c r="A15" s="174"/>
      <c r="B15" s="174"/>
      <c r="C15" s="174"/>
      <c r="D15" s="174"/>
      <c r="E15" s="174"/>
      <c r="F15" s="174"/>
      <c r="G15" s="174"/>
      <c r="H15" s="587"/>
      <c r="I15" s="174"/>
      <c r="J15" s="174"/>
      <c r="K15" s="174"/>
      <c r="L15" s="174"/>
      <c r="M15" s="174"/>
      <c r="N15" s="174"/>
      <c r="O15" s="174"/>
      <c r="P15" s="697"/>
    </row>
    <row r="16" spans="1:17">
      <c r="A16" s="13" t="s">
        <v>625</v>
      </c>
      <c r="B16" s="174"/>
      <c r="C16" s="518"/>
      <c r="D16" s="518"/>
      <c r="E16" s="518"/>
      <c r="F16" s="518"/>
      <c r="G16" s="518"/>
      <c r="H16" s="518"/>
      <c r="I16" s="174"/>
      <c r="J16" s="174"/>
      <c r="K16" s="518"/>
      <c r="L16" s="174"/>
      <c r="M16" s="518"/>
      <c r="N16" s="518"/>
      <c r="O16" s="174"/>
      <c r="P16" s="697"/>
    </row>
    <row r="17" spans="1:17">
      <c r="A17" s="174" t="s">
        <v>626</v>
      </c>
      <c r="B17" s="174"/>
      <c r="C17" s="518"/>
      <c r="D17" s="518"/>
      <c r="E17" s="518"/>
      <c r="F17" s="518"/>
      <c r="G17" s="518"/>
      <c r="H17" s="518"/>
      <c r="I17" s="174"/>
      <c r="J17" s="174"/>
      <c r="K17" s="518"/>
      <c r="L17" s="174"/>
      <c r="M17" s="518"/>
      <c r="N17" s="518"/>
      <c r="O17" s="174"/>
      <c r="P17" s="697"/>
      <c r="Q17" s="697"/>
    </row>
    <row r="18" spans="1:17">
      <c r="A18" s="174"/>
      <c r="B18" s="174"/>
      <c r="C18" s="518"/>
      <c r="D18" s="518"/>
      <c r="E18" s="518"/>
      <c r="F18" s="518"/>
      <c r="G18" s="518"/>
      <c r="H18" s="518" t="s">
        <v>627</v>
      </c>
      <c r="I18" s="518" t="s">
        <v>628</v>
      </c>
      <c r="J18" s="518"/>
      <c r="K18" s="518" t="s">
        <v>629</v>
      </c>
      <c r="L18" s="518" t="s">
        <v>630</v>
      </c>
      <c r="M18" s="518" t="s">
        <v>631</v>
      </c>
      <c r="N18" s="163" t="s">
        <v>167</v>
      </c>
      <c r="O18" s="174"/>
      <c r="P18" s="731"/>
      <c r="Q18" s="731"/>
    </row>
    <row r="19" spans="1:17">
      <c r="A19" s="174" t="s">
        <v>632</v>
      </c>
      <c r="B19" s="174"/>
      <c r="C19" s="518"/>
      <c r="D19" s="518"/>
      <c r="E19" s="518"/>
      <c r="F19" s="174"/>
      <c r="G19" s="518"/>
      <c r="H19" s="518" t="s">
        <v>633</v>
      </c>
      <c r="I19" s="518" t="s">
        <v>634</v>
      </c>
      <c r="J19" s="174"/>
      <c r="K19" s="518" t="s">
        <v>635</v>
      </c>
      <c r="L19" s="518" t="s">
        <v>636</v>
      </c>
      <c r="M19" s="591" t="s">
        <v>453</v>
      </c>
      <c r="N19" s="163" t="s">
        <v>637</v>
      </c>
      <c r="O19" s="174"/>
      <c r="P19" s="731"/>
      <c r="Q19" s="731"/>
    </row>
    <row r="20" spans="1:17">
      <c r="A20" s="174"/>
      <c r="B20" s="174"/>
      <c r="C20" s="518"/>
      <c r="D20" s="518"/>
      <c r="E20" s="518"/>
      <c r="F20" s="174"/>
      <c r="G20" s="518"/>
      <c r="H20" s="518" t="s">
        <v>638</v>
      </c>
      <c r="I20" s="174" t="s">
        <v>639</v>
      </c>
      <c r="J20" s="174"/>
      <c r="K20" s="591" t="s">
        <v>640</v>
      </c>
      <c r="L20" s="174" t="s">
        <v>641</v>
      </c>
      <c r="M20" s="174"/>
      <c r="N20" s="163" t="s">
        <v>635</v>
      </c>
      <c r="O20" s="450"/>
      <c r="P20" s="731"/>
      <c r="Q20" s="697"/>
    </row>
    <row r="21" spans="1:17">
      <c r="A21" s="174" t="s">
        <v>642</v>
      </c>
      <c r="B21" s="174"/>
      <c r="C21" s="518"/>
      <c r="D21" s="518"/>
      <c r="E21" s="518"/>
      <c r="F21" s="518"/>
      <c r="G21" s="518"/>
      <c r="H21" s="592">
        <v>1</v>
      </c>
      <c r="I21" s="592" t="s">
        <v>98</v>
      </c>
      <c r="J21" s="450"/>
      <c r="K21" s="593">
        <v>52</v>
      </c>
      <c r="L21" s="592" t="s">
        <v>98</v>
      </c>
      <c r="M21" s="591">
        <f>IF(L21=A51,H21*10,0)</f>
        <v>10</v>
      </c>
      <c r="N21" s="164">
        <f>H21*IF(I21=A51,130,130*1.3)</f>
        <v>130</v>
      </c>
      <c r="O21" s="450"/>
      <c r="P21" s="697"/>
      <c r="Q21" s="697"/>
    </row>
    <row r="22" spans="1:17">
      <c r="A22" s="174" t="s">
        <v>643</v>
      </c>
      <c r="B22" s="174"/>
      <c r="C22" s="518"/>
      <c r="D22" s="518"/>
      <c r="E22" s="518"/>
      <c r="F22" s="518"/>
      <c r="G22" s="518"/>
      <c r="H22" s="592"/>
      <c r="I22" s="592" t="s">
        <v>103</v>
      </c>
      <c r="J22" s="450"/>
      <c r="K22" s="591">
        <f>H22*IF(I22=A51,100,100*1.3)</f>
        <v>0</v>
      </c>
      <c r="L22" s="592" t="s">
        <v>103</v>
      </c>
      <c r="M22" s="591">
        <f>IF(L22=A51,H22*10,0)</f>
        <v>0</v>
      </c>
      <c r="N22" s="174"/>
      <c r="O22" s="174"/>
      <c r="P22" s="697"/>
      <c r="Q22" s="697"/>
    </row>
    <row r="23" spans="1:17">
      <c r="A23" s="174" t="s">
        <v>644</v>
      </c>
      <c r="B23" s="174"/>
      <c r="C23" s="518"/>
      <c r="D23" s="518"/>
      <c r="E23" s="518"/>
      <c r="F23" s="518"/>
      <c r="G23" s="518"/>
      <c r="H23" s="592">
        <v>1</v>
      </c>
      <c r="I23" s="518"/>
      <c r="J23" s="508"/>
      <c r="K23" s="591">
        <f>H23*45</f>
        <v>45</v>
      </c>
      <c r="L23" s="508"/>
      <c r="M23" s="591" t="s">
        <v>103</v>
      </c>
      <c r="N23" s="174"/>
      <c r="O23" s="174"/>
      <c r="P23" s="697"/>
      <c r="Q23" s="697"/>
    </row>
    <row r="24" spans="1:17">
      <c r="A24" s="174" t="s">
        <v>645</v>
      </c>
      <c r="B24" s="174"/>
      <c r="C24" s="518"/>
      <c r="D24" s="518"/>
      <c r="E24" s="518"/>
      <c r="F24" s="518"/>
      <c r="G24" s="594" t="s">
        <v>99</v>
      </c>
      <c r="H24" s="571">
        <f>VLOOKUP(G24,$A$51:$B$53,2,FALSE)</f>
        <v>0</v>
      </c>
      <c r="I24" s="518"/>
      <c r="J24" s="508"/>
      <c r="K24" s="591">
        <f>IF($H$24,0.6*volume,0)</f>
        <v>0</v>
      </c>
      <c r="L24" s="508"/>
      <c r="M24" s="591">
        <f>IF($H$24,0.06*volume,0)</f>
        <v>0</v>
      </c>
      <c r="N24" s="174"/>
      <c r="O24" s="174"/>
      <c r="P24" s="697"/>
      <c r="Q24" s="697"/>
    </row>
    <row r="25" spans="1:17">
      <c r="A25" s="174"/>
      <c r="B25" s="174"/>
      <c r="C25" s="518"/>
      <c r="D25" s="518"/>
      <c r="E25" s="518"/>
      <c r="F25" s="518"/>
      <c r="G25" s="518"/>
      <c r="H25" s="518"/>
      <c r="I25" s="518"/>
      <c r="J25" s="591" t="s">
        <v>201</v>
      </c>
      <c r="K25" s="570">
        <f>SUM(K21:K24)</f>
        <v>97</v>
      </c>
      <c r="L25" s="591"/>
      <c r="M25" s="570">
        <f>SUM(M21:M24)</f>
        <v>10</v>
      </c>
      <c r="N25" s="174"/>
      <c r="O25" s="174"/>
      <c r="P25" s="731">
        <v>175</v>
      </c>
      <c r="Q25" s="731">
        <v>10</v>
      </c>
    </row>
    <row r="26" spans="1:17">
      <c r="A26" s="174"/>
      <c r="B26" s="174"/>
      <c r="C26" s="518"/>
      <c r="D26" s="518"/>
      <c r="E26" s="518"/>
      <c r="F26" s="518"/>
      <c r="G26" s="518"/>
      <c r="H26" s="518"/>
      <c r="I26" s="518"/>
      <c r="J26" s="591"/>
      <c r="K26" s="591"/>
      <c r="L26" s="518"/>
      <c r="M26" s="518"/>
      <c r="N26" s="518"/>
      <c r="O26" s="174"/>
      <c r="P26" s="697"/>
      <c r="Q26" s="697"/>
    </row>
    <row r="27" spans="1:17">
      <c r="A27" s="174" t="s">
        <v>646</v>
      </c>
      <c r="B27" s="174"/>
      <c r="C27" s="174"/>
      <c r="D27" s="174"/>
      <c r="E27" s="174"/>
      <c r="F27" s="174"/>
      <c r="G27" s="174"/>
      <c r="H27" s="174"/>
      <c r="I27" s="174"/>
      <c r="J27" s="508"/>
      <c r="K27" s="591">
        <f>(M25/1000)*24*HsLength</f>
        <v>58.32</v>
      </c>
      <c r="L27" s="518"/>
      <c r="M27" s="518"/>
      <c r="N27" s="518"/>
      <c r="O27" s="174"/>
      <c r="P27" s="731">
        <f>(Q25/1000)*24*HsLength</f>
        <v>58.32</v>
      </c>
      <c r="Q27" s="697"/>
    </row>
    <row r="28" spans="1:17">
      <c r="A28" s="174" t="s">
        <v>647</v>
      </c>
      <c r="B28" s="174"/>
      <c r="C28" s="174"/>
      <c r="D28" s="174"/>
      <c r="E28" s="174"/>
      <c r="F28" s="174"/>
      <c r="G28" s="174"/>
      <c r="H28" s="587"/>
      <c r="I28" s="174"/>
      <c r="J28" s="508"/>
      <c r="K28" s="512">
        <f>AVERAGE(HtUse!C51:G51,HtUse!L51:N51)</f>
        <v>0.8819244850767437</v>
      </c>
      <c r="L28" s="174"/>
      <c r="M28" s="518"/>
      <c r="N28" s="518"/>
      <c r="O28" s="174"/>
      <c r="P28" s="700">
        <f>AVERAGE(HtUse!Q51:U51,HtUse!Z51:AB51)</f>
        <v>0.89070948746573375</v>
      </c>
      <c r="Q28" s="697"/>
    </row>
    <row r="29" spans="1:17">
      <c r="A29" s="174" t="s">
        <v>648</v>
      </c>
      <c r="B29" s="174"/>
      <c r="C29" s="174"/>
      <c r="D29" s="174"/>
      <c r="E29" s="174"/>
      <c r="F29" s="174"/>
      <c r="G29" s="174"/>
      <c r="H29" s="587"/>
      <c r="I29" s="174"/>
      <c r="J29" s="508"/>
      <c r="K29" s="591">
        <f>K27*K28</f>
        <v>51.433835969675691</v>
      </c>
      <c r="L29" s="518"/>
      <c r="M29" s="518"/>
      <c r="N29" s="518"/>
      <c r="O29" s="174"/>
      <c r="P29" s="731">
        <f>P27*P28</f>
        <v>51.946177309001591</v>
      </c>
      <c r="Q29" s="697"/>
    </row>
    <row r="30" spans="1:17">
      <c r="A30" s="174" t="s">
        <v>649</v>
      </c>
      <c r="B30" s="174"/>
      <c r="C30" s="174"/>
      <c r="D30" s="174"/>
      <c r="E30" s="174"/>
      <c r="F30" s="174"/>
      <c r="G30" s="174"/>
      <c r="H30" s="587"/>
      <c r="I30" s="174"/>
      <c r="J30" s="508"/>
      <c r="K30" s="570">
        <f>H14-K29</f>
        <v>2821.1538299086405</v>
      </c>
      <c r="L30" s="587"/>
      <c r="M30" s="518"/>
      <c r="N30" s="518"/>
      <c r="O30" s="174"/>
      <c r="P30" s="731">
        <f>P14-P29</f>
        <v>6531.2151567335241</v>
      </c>
      <c r="Q30" s="697"/>
    </row>
    <row r="31" spans="1:17">
      <c r="A31" s="174"/>
      <c r="B31" s="174"/>
      <c r="C31" s="518"/>
      <c r="D31" s="518"/>
      <c r="E31" s="518"/>
      <c r="F31" s="518"/>
      <c r="G31" s="518"/>
      <c r="H31" s="518"/>
      <c r="I31" s="518"/>
      <c r="J31" s="591"/>
      <c r="K31" s="591"/>
      <c r="L31" s="518"/>
      <c r="M31" s="518"/>
      <c r="N31" s="518"/>
      <c r="O31" s="174"/>
      <c r="P31" s="697"/>
      <c r="Q31" s="697"/>
    </row>
    <row r="32" spans="1:17">
      <c r="A32" s="13" t="s">
        <v>650</v>
      </c>
      <c r="B32" s="174"/>
      <c r="C32" s="174"/>
      <c r="D32" s="174"/>
      <c r="E32" s="516"/>
      <c r="F32" s="595"/>
      <c r="G32" s="47"/>
      <c r="H32" s="174"/>
      <c r="I32" s="174"/>
      <c r="J32" s="591"/>
      <c r="K32" s="591"/>
      <c r="L32" s="518"/>
      <c r="M32" s="518"/>
      <c r="N32" s="518"/>
      <c r="O32" s="174"/>
      <c r="P32" s="697"/>
      <c r="Q32" s="697"/>
    </row>
    <row r="33" spans="1:16">
      <c r="A33" s="174" t="s">
        <v>651</v>
      </c>
      <c r="B33" s="174"/>
      <c r="C33" s="174"/>
      <c r="D33" s="174"/>
      <c r="E33" s="174"/>
      <c r="F33" s="269"/>
      <c r="G33" s="587"/>
      <c r="H33" s="587"/>
      <c r="I33" s="174"/>
      <c r="J33" s="592" t="s">
        <v>103</v>
      </c>
      <c r="K33" s="571">
        <f>VLOOKUP(J33,$A$51:$B$53,2,FALSE)</f>
        <v>0</v>
      </c>
      <c r="L33" s="518"/>
      <c r="M33" s="518"/>
      <c r="N33" s="518"/>
      <c r="O33" s="174"/>
      <c r="P33" s="697"/>
    </row>
    <row r="34" spans="1:16" ht="14.25">
      <c r="A34" s="174" t="s">
        <v>652</v>
      </c>
      <c r="B34" s="174"/>
      <c r="C34" s="174"/>
      <c r="D34" s="174"/>
      <c r="E34" s="174"/>
      <c r="F34" s="269"/>
      <c r="G34" s="587"/>
      <c r="H34" s="587"/>
      <c r="I34" s="174"/>
      <c r="J34" s="174"/>
      <c r="K34" s="588"/>
      <c r="L34" s="174"/>
      <c r="M34" s="174"/>
      <c r="N34" s="174"/>
      <c r="O34" s="174"/>
      <c r="P34" s="697"/>
    </row>
    <row r="35" spans="1:16">
      <c r="A35" s="174" t="s">
        <v>653</v>
      </c>
      <c r="B35" s="174"/>
      <c r="C35" s="174"/>
      <c r="D35" s="174"/>
      <c r="E35" s="174"/>
      <c r="F35" s="269"/>
      <c r="G35" s="587"/>
      <c r="H35" s="587"/>
      <c r="I35" s="174"/>
      <c r="J35" s="174"/>
      <c r="K35" s="572">
        <f>IF(Vent!G13&lt;2,1,1/(Vent!G13-0.5))</f>
        <v>0.66666666666666663</v>
      </c>
      <c r="L35" s="174"/>
      <c r="M35" s="174"/>
      <c r="N35" s="174"/>
      <c r="O35" s="174"/>
      <c r="P35" s="697"/>
    </row>
    <row r="36" spans="1:16">
      <c r="A36" s="174" t="s">
        <v>654</v>
      </c>
      <c r="B36" s="174"/>
      <c r="C36" s="174"/>
      <c r="D36" s="174"/>
      <c r="E36" s="174"/>
      <c r="F36" s="269"/>
      <c r="G36" s="587"/>
      <c r="H36" s="587"/>
      <c r="I36" s="174"/>
      <c r="J36" s="174"/>
      <c r="K36" s="571">
        <f>IF(K33,IF(K34=0,0,(0.12/(1/K34))*K30*K35),0)</f>
        <v>0</v>
      </c>
      <c r="L36" s="518"/>
      <c r="M36" s="174"/>
      <c r="N36" s="174"/>
      <c r="O36" s="174"/>
      <c r="P36" s="731"/>
    </row>
    <row r="37" spans="1:16">
      <c r="A37" s="174" t="s">
        <v>655</v>
      </c>
      <c r="B37" s="174"/>
      <c r="C37" s="174"/>
      <c r="D37" s="174"/>
      <c r="E37" s="174"/>
      <c r="F37" s="174"/>
      <c r="G37" s="174"/>
      <c r="H37" s="174"/>
      <c r="I37" s="174"/>
      <c r="J37" s="174"/>
      <c r="K37" s="570">
        <f>K30+K36</f>
        <v>2821.1538299086405</v>
      </c>
      <c r="L37" s="174"/>
      <c r="M37" s="174"/>
      <c r="N37" s="174"/>
      <c r="O37" s="174"/>
      <c r="P37" s="731">
        <f>P30</f>
        <v>6531.2151567335241</v>
      </c>
    </row>
    <row r="38" spans="1:16">
      <c r="A38" s="174"/>
      <c r="B38" s="174"/>
      <c r="C38" s="174"/>
      <c r="D38" s="174"/>
      <c r="E38" s="174"/>
      <c r="F38" s="174"/>
      <c r="G38" s="174"/>
      <c r="H38" s="174"/>
      <c r="I38" s="174"/>
      <c r="J38" s="174"/>
      <c r="K38" s="174"/>
      <c r="L38" s="174"/>
      <c r="M38" s="174"/>
      <c r="N38" s="174"/>
      <c r="O38" s="174"/>
      <c r="P38" s="697"/>
    </row>
    <row r="39" spans="1:16">
      <c r="A39" s="13" t="s">
        <v>656</v>
      </c>
      <c r="B39" s="174"/>
      <c r="C39" s="174"/>
      <c r="D39" s="174"/>
      <c r="E39" s="849" t="s">
        <v>657</v>
      </c>
      <c r="F39" s="849"/>
      <c r="G39" s="849"/>
      <c r="H39" s="849"/>
      <c r="I39" s="508">
        <f>VLOOKUP(E39,A56:E58,5,FALSE)</f>
        <v>1</v>
      </c>
      <c r="J39" s="174"/>
      <c r="K39" s="174"/>
      <c r="L39" s="174"/>
      <c r="M39" s="174"/>
      <c r="N39" s="174"/>
      <c r="O39" s="174"/>
      <c r="P39" s="697"/>
    </row>
    <row r="40" spans="1:16">
      <c r="A40" s="174"/>
      <c r="B40" s="174" t="s">
        <v>658</v>
      </c>
      <c r="C40" s="174"/>
      <c r="D40" s="174"/>
      <c r="E40" s="174"/>
      <c r="F40" s="174"/>
      <c r="G40" s="174"/>
      <c r="H40" s="174"/>
      <c r="I40" s="174"/>
      <c r="J40" s="174"/>
      <c r="K40" s="174"/>
      <c r="L40" s="518"/>
      <c r="M40" s="174"/>
      <c r="N40" s="174"/>
      <c r="O40" s="174"/>
      <c r="P40" s="697"/>
    </row>
    <row r="41" spans="1:16">
      <c r="A41" s="174"/>
      <c r="B41" s="174"/>
      <c r="C41" s="174"/>
      <c r="D41" s="174"/>
      <c r="E41" s="174"/>
      <c r="F41" s="174"/>
      <c r="G41" s="174"/>
      <c r="H41" s="174"/>
      <c r="I41" s="174"/>
      <c r="J41" s="174"/>
      <c r="K41" s="174"/>
      <c r="L41" s="518"/>
      <c r="M41" s="174"/>
      <c r="N41" s="174"/>
      <c r="O41" s="174"/>
      <c r="P41" s="697"/>
    </row>
    <row r="42" spans="1:16">
      <c r="A42" s="174"/>
      <c r="B42" s="174"/>
      <c r="C42" s="174"/>
      <c r="D42" s="174"/>
      <c r="E42" s="174"/>
      <c r="F42" s="174"/>
      <c r="G42" s="174"/>
      <c r="H42" s="174"/>
      <c r="I42" s="174"/>
      <c r="J42" s="174"/>
      <c r="K42" s="174"/>
      <c r="L42" s="518"/>
      <c r="M42" s="174"/>
      <c r="N42" s="174"/>
      <c r="O42" s="174"/>
      <c r="P42" s="697"/>
    </row>
    <row r="43" spans="1:16">
      <c r="A43" s="3" t="s">
        <v>78</v>
      </c>
      <c r="B43" s="450"/>
      <c r="C43" s="450"/>
      <c r="D43" s="450"/>
      <c r="E43" s="450"/>
      <c r="F43" s="450"/>
      <c r="G43" s="450"/>
      <c r="H43" s="450"/>
      <c r="I43" s="450"/>
      <c r="J43" s="450"/>
      <c r="K43" s="450"/>
      <c r="L43" s="450"/>
      <c r="M43" s="450"/>
      <c r="N43" s="450"/>
      <c r="O43" s="450"/>
      <c r="P43" s="697"/>
    </row>
    <row r="44" spans="1:16">
      <c r="A44" s="3" t="s">
        <v>659</v>
      </c>
      <c r="B44" s="450" t="s">
        <v>660</v>
      </c>
      <c r="C44" s="450"/>
      <c r="D44" s="450"/>
      <c r="E44" s="450"/>
      <c r="F44" s="450"/>
      <c r="G44" s="450"/>
      <c r="H44" s="450"/>
      <c r="I44" s="450"/>
      <c r="J44" s="450"/>
      <c r="K44" s="450"/>
      <c r="L44" s="450"/>
      <c r="M44" s="450"/>
      <c r="N44" s="450"/>
      <c r="O44" s="450"/>
      <c r="P44" s="697"/>
    </row>
    <row r="45" spans="1:16">
      <c r="A45" s="450">
        <v>1</v>
      </c>
      <c r="B45" s="450">
        <v>1.2</v>
      </c>
      <c r="C45" s="450"/>
      <c r="D45" s="450"/>
      <c r="E45" s="450"/>
      <c r="F45" s="450"/>
      <c r="G45" s="450"/>
      <c r="H45" s="450"/>
      <c r="I45" s="450"/>
      <c r="J45" s="450"/>
      <c r="K45" s="450"/>
      <c r="L45" s="450"/>
      <c r="M45" s="450"/>
      <c r="N45" s="450"/>
      <c r="O45" s="450"/>
      <c r="P45" s="697"/>
    </row>
    <row r="46" spans="1:16">
      <c r="A46" s="450">
        <v>2</v>
      </c>
      <c r="B46" s="450">
        <v>0.5</v>
      </c>
      <c r="C46" s="450"/>
      <c r="D46" s="450"/>
      <c r="E46" s="450"/>
      <c r="F46" s="450"/>
      <c r="G46" s="450"/>
      <c r="H46" s="450"/>
      <c r="I46" s="450"/>
      <c r="J46" s="450"/>
      <c r="K46" s="450"/>
      <c r="L46" s="450"/>
      <c r="M46" s="450"/>
      <c r="N46" s="450"/>
      <c r="O46" s="450"/>
      <c r="P46" s="697"/>
    </row>
    <row r="47" spans="1:16">
      <c r="A47" s="450">
        <v>3</v>
      </c>
      <c r="B47" s="450">
        <v>0</v>
      </c>
      <c r="C47" s="450"/>
      <c r="D47" s="450"/>
      <c r="E47" s="450"/>
      <c r="F47" s="450"/>
      <c r="G47" s="450"/>
      <c r="H47" s="450"/>
      <c r="I47" s="450"/>
      <c r="J47" s="450"/>
      <c r="K47" s="450"/>
      <c r="L47" s="450"/>
      <c r="M47" s="450"/>
      <c r="N47" s="450"/>
      <c r="O47" s="450"/>
      <c r="P47" s="697"/>
    </row>
    <row r="48" spans="1:16">
      <c r="A48" s="450">
        <v>0</v>
      </c>
      <c r="B48" s="450">
        <f>B45</f>
        <v>1.2</v>
      </c>
      <c r="C48" s="450"/>
      <c r="D48" s="450"/>
      <c r="E48" s="450"/>
      <c r="F48" s="450"/>
      <c r="G48" s="450"/>
      <c r="H48" s="450"/>
      <c r="I48" s="450"/>
      <c r="J48" s="450"/>
      <c r="K48" s="450"/>
      <c r="L48" s="450"/>
      <c r="M48" s="450"/>
      <c r="N48" s="450"/>
      <c r="O48" s="450"/>
      <c r="P48" s="697"/>
    </row>
    <row r="50" spans="1:5">
      <c r="A50" s="3" t="s">
        <v>187</v>
      </c>
      <c r="B50" s="450"/>
      <c r="C50" s="450"/>
      <c r="D50" s="450"/>
      <c r="E50" s="450"/>
    </row>
    <row r="51" spans="1:5">
      <c r="A51" s="450" t="s">
        <v>98</v>
      </c>
      <c r="B51" s="450">
        <v>1</v>
      </c>
      <c r="C51" s="450"/>
      <c r="D51" s="450"/>
      <c r="E51" s="450"/>
    </row>
    <row r="52" spans="1:5">
      <c r="A52" s="450" t="s">
        <v>99</v>
      </c>
      <c r="B52" s="450">
        <v>0</v>
      </c>
      <c r="C52" s="450"/>
      <c r="D52" s="450"/>
      <c r="E52" s="450"/>
    </row>
    <row r="53" spans="1:5">
      <c r="A53" s="450" t="s">
        <v>103</v>
      </c>
      <c r="B53" s="450">
        <v>0</v>
      </c>
      <c r="C53" s="450"/>
      <c r="D53" s="450"/>
      <c r="E53" s="450"/>
    </row>
    <row r="55" spans="1:5">
      <c r="A55" s="3" t="s">
        <v>661</v>
      </c>
      <c r="B55" s="450"/>
      <c r="C55" s="450"/>
      <c r="D55" s="450"/>
      <c r="E55" s="450"/>
    </row>
    <row r="56" spans="1:5">
      <c r="A56" s="450" t="s">
        <v>657</v>
      </c>
      <c r="B56" s="450"/>
      <c r="C56" s="450"/>
      <c r="D56" s="450"/>
      <c r="E56" s="450">
        <v>1</v>
      </c>
    </row>
    <row r="57" spans="1:5">
      <c r="A57" s="450" t="s">
        <v>662</v>
      </c>
      <c r="B57" s="450"/>
      <c r="C57" s="450"/>
      <c r="D57" s="450"/>
      <c r="E57" s="450">
        <v>2</v>
      </c>
    </row>
    <row r="58" spans="1:5">
      <c r="A58" s="450" t="s">
        <v>103</v>
      </c>
      <c r="B58" s="450"/>
      <c r="C58" s="450"/>
      <c r="D58" s="450"/>
      <c r="E58" s="450">
        <v>1</v>
      </c>
    </row>
  </sheetData>
  <sheetProtection algorithmName="SHA-512" hashValue="9w+QEsktbfC+U6Qvee+DHGKK5vtdUrOvZHlkAJjtE2hObqyE2lscJDkYLqgO+V2mLrjXByPQHLtLHL7BFOBirA==" saltValue="NFTdBmF9HR9G9FXUhkpB4w==" spinCount="100000" sheet="1" objects="1" scenarios="1"/>
  <mergeCells count="1">
    <mergeCell ref="E39:H39"/>
  </mergeCells>
  <phoneticPr fontId="0" type="noConversion"/>
  <dataValidations count="2">
    <dataValidation type="list" allowBlank="1" showInputMessage="1" showErrorMessage="1" errorTitle="DEAP" error="Please select item from drop-down list." sqref="J33 G24 L21:L22 I21:I22" xr:uid="{00000000-0002-0000-0A00-000000000000}">
      <formula1>$A$51:$A$53</formula1>
    </dataValidation>
    <dataValidation type="list" allowBlank="1" showInputMessage="1" showErrorMessage="1" errorTitle="DEAP" error="Please select item from drop-down list." sqref="E39:H39" xr:uid="{00000000-0002-0000-0A00-000001000000}">
      <formula1>$A$56:$A$58</formula1>
    </dataValidation>
  </dataValidations>
  <pageMargins left="0.75" right="0.75" top="1" bottom="1" header="0.5" footer="0.5"/>
  <pageSetup paperSize="9" scale="72"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A1:AH115"/>
  <sheetViews>
    <sheetView topLeftCell="A25" zoomScaleNormal="100" workbookViewId="0">
      <selection activeCell="F61" sqref="F61"/>
    </sheetView>
  </sheetViews>
  <sheetFormatPr defaultColWidth="9.140625" defaultRowHeight="12.75"/>
  <cols>
    <col min="1" max="1" width="9.140625" style="20"/>
    <col min="2" max="2" width="21.42578125" style="20" customWidth="1"/>
    <col min="3" max="3" width="9.140625" style="20"/>
    <col min="4" max="4" width="9" style="20" bestFit="1" customWidth="1"/>
    <col min="5" max="5" width="9.140625" style="20"/>
    <col min="6" max="6" width="15.5703125" style="20" customWidth="1"/>
    <col min="7" max="7" width="13" style="20" customWidth="1"/>
    <col min="8" max="8" width="9.5703125" style="20" customWidth="1"/>
    <col min="9" max="9" width="25.5703125" style="20" customWidth="1"/>
    <col min="10" max="10" width="14.85546875" style="20" customWidth="1"/>
    <col min="11" max="11" width="16.140625" style="20" customWidth="1"/>
    <col min="12" max="13" width="12.7109375" style="20" customWidth="1"/>
    <col min="14" max="14" width="14.85546875" style="20" customWidth="1"/>
    <col min="15" max="15" width="9.140625" style="20"/>
    <col min="16" max="16" width="9.140625" style="14" customWidth="1"/>
    <col min="17" max="31" width="9.140625" style="14"/>
    <col min="32" max="33" width="9.140625" style="739"/>
    <col min="34" max="34" width="9.140625" style="708"/>
    <col min="35" max="16384" width="9.140625" style="14"/>
  </cols>
  <sheetData>
    <row r="1" spans="1:34" s="65" customFormat="1" ht="18" customHeight="1">
      <c r="A1" s="23" t="s">
        <v>663</v>
      </c>
      <c r="B1" s="26"/>
      <c r="C1" s="500"/>
      <c r="D1" s="500"/>
      <c r="E1" s="500"/>
      <c r="F1" s="27"/>
      <c r="G1" s="27"/>
      <c r="H1" s="500"/>
      <c r="I1" s="500"/>
      <c r="J1" s="500"/>
      <c r="K1" s="500"/>
      <c r="L1" s="500"/>
      <c r="M1" s="500"/>
      <c r="N1" s="174" t="s">
        <v>1485</v>
      </c>
      <c r="AF1" s="689" t="s">
        <v>350</v>
      </c>
      <c r="AG1" s="707"/>
      <c r="AH1" s="707"/>
    </row>
    <row r="2" spans="1:34">
      <c r="A2" s="174"/>
      <c r="B2" s="13"/>
      <c r="C2" s="174"/>
      <c r="D2" s="174"/>
      <c r="E2" s="174"/>
      <c r="F2" s="587"/>
      <c r="G2" s="174"/>
      <c r="H2" s="174"/>
      <c r="I2" s="174"/>
      <c r="J2" s="174"/>
      <c r="K2" s="174"/>
      <c r="L2" s="174"/>
      <c r="M2" s="174"/>
      <c r="N2" s="823" t="b">
        <f>IF(OR(I4="Heat Pump",I4="Exhaust Air Heat Pump"),TRUE,FALSE)</f>
        <v>0</v>
      </c>
      <c r="O2" s="174"/>
      <c r="AF2" s="692"/>
      <c r="AG2" s="708"/>
    </row>
    <row r="3" spans="1:34">
      <c r="A3" s="48" t="s">
        <v>664</v>
      </c>
      <c r="B3" s="221"/>
      <c r="C3" s="174"/>
      <c r="D3" s="174"/>
      <c r="E3" s="174"/>
      <c r="F3" s="174"/>
      <c r="G3" s="174"/>
      <c r="H3" s="587"/>
      <c r="I3" s="174" t="s">
        <v>665</v>
      </c>
      <c r="J3" s="174"/>
      <c r="K3" s="174"/>
      <c r="L3" s="174" t="s">
        <v>666</v>
      </c>
      <c r="M3" s="174"/>
      <c r="N3" s="174" t="s">
        <v>667</v>
      </c>
      <c r="O3" s="174"/>
      <c r="T3" s="480" t="s">
        <v>2</v>
      </c>
      <c r="AF3" s="692"/>
      <c r="AG3" s="708"/>
    </row>
    <row r="4" spans="1:34">
      <c r="A4" s="221" t="s">
        <v>668</v>
      </c>
      <c r="B4" s="221"/>
      <c r="C4" s="174"/>
      <c r="D4" s="174"/>
      <c r="E4" s="174"/>
      <c r="F4" s="174"/>
      <c r="G4" s="174"/>
      <c r="H4" s="587"/>
      <c r="I4" s="288" t="s">
        <v>792</v>
      </c>
      <c r="J4" s="588">
        <v>91.3</v>
      </c>
      <c r="K4" s="174" t="s">
        <v>670</v>
      </c>
      <c r="L4" s="269">
        <f>IF(I4="Exhaust Air Heat Pump",Vent!G32,0)</f>
        <v>0</v>
      </c>
      <c r="M4" s="174" t="s">
        <v>154</v>
      </c>
      <c r="N4" s="740">
        <f>IFERROR(IF(OR(I4="Heat Pump",I4="Exhaust Air Heat Pump"),HP!B106*HP!B107,"NA")*100,0)</f>
        <v>0</v>
      </c>
      <c r="O4" s="174" t="s">
        <v>670</v>
      </c>
      <c r="T4" s="480" t="s">
        <v>2</v>
      </c>
      <c r="AF4" s="692"/>
      <c r="AG4" s="708"/>
    </row>
    <row r="5" spans="1:34">
      <c r="A5" s="221" t="s">
        <v>671</v>
      </c>
      <c r="B5" s="221"/>
      <c r="C5" s="174"/>
      <c r="D5" s="174"/>
      <c r="E5" s="174"/>
      <c r="F5" s="174"/>
      <c r="G5" s="174"/>
      <c r="H5" s="587"/>
      <c r="I5" s="174" t="str">
        <f>IF(OR(I4="Heat Pump",I4="Exhaust Air Heat Pump"),"Complete tab HP","")</f>
        <v/>
      </c>
      <c r="J5" s="588"/>
      <c r="K5" s="174"/>
      <c r="L5" s="174"/>
      <c r="M5" s="174"/>
      <c r="N5" s="174" t="s">
        <v>672</v>
      </c>
      <c r="O5" s="174"/>
      <c r="AF5" s="692"/>
      <c r="AG5" s="708"/>
    </row>
    <row r="6" spans="1:34">
      <c r="A6" s="221" t="s">
        <v>673</v>
      </c>
      <c r="B6" s="221"/>
      <c r="C6" s="174"/>
      <c r="D6" s="174"/>
      <c r="E6" s="174"/>
      <c r="F6" s="174"/>
      <c r="G6" s="174"/>
      <c r="H6" s="587"/>
      <c r="I6" s="174"/>
      <c r="J6" s="588">
        <v>1</v>
      </c>
      <c r="K6" s="174" t="s">
        <v>674</v>
      </c>
      <c r="L6" s="174"/>
      <c r="M6" s="174"/>
      <c r="N6" s="741">
        <f>MIN(IF(I4="Exhaust Air Heat Pump",HP!B111,1),1)</f>
        <v>1</v>
      </c>
      <c r="O6" s="174" t="s">
        <v>670</v>
      </c>
      <c r="AF6" s="692"/>
      <c r="AG6" s="708"/>
    </row>
    <row r="7" spans="1:34">
      <c r="A7" s="174" t="s">
        <v>675</v>
      </c>
      <c r="B7" s="221"/>
      <c r="C7" s="174"/>
      <c r="D7" s="174"/>
      <c r="E7" s="174"/>
      <c r="F7" s="174"/>
      <c r="G7" s="174"/>
      <c r="H7" s="587"/>
      <c r="I7" s="174"/>
      <c r="J7" s="596">
        <f>IF(OR(I4="Heat Pump",I4="Exhaust Air Heat Pump"),N4,J4*J6)</f>
        <v>91.3</v>
      </c>
      <c r="K7" s="174"/>
      <c r="L7" s="174" t="s">
        <v>2</v>
      </c>
      <c r="M7" s="174"/>
      <c r="N7" s="174" t="s">
        <v>676</v>
      </c>
      <c r="O7" s="174"/>
      <c r="AF7" s="692">
        <v>78</v>
      </c>
      <c r="AG7" s="708"/>
    </row>
    <row r="8" spans="1:34">
      <c r="A8" s="221" t="s">
        <v>677</v>
      </c>
      <c r="B8" s="221"/>
      <c r="C8" s="174"/>
      <c r="D8" s="174"/>
      <c r="E8" s="174"/>
      <c r="F8" s="174"/>
      <c r="G8" s="174"/>
      <c r="H8" s="587"/>
      <c r="I8" s="174"/>
      <c r="J8" s="588"/>
      <c r="K8" s="174"/>
      <c r="L8" s="174"/>
      <c r="M8" s="174"/>
      <c r="N8" s="742">
        <f>IF(I4="Other",0,(1-M21)*F114)</f>
        <v>2821.1538299086405</v>
      </c>
      <c r="O8" s="174" t="s">
        <v>396</v>
      </c>
      <c r="AF8" s="692">
        <v>0.1</v>
      </c>
      <c r="AG8" s="708"/>
    </row>
    <row r="9" spans="1:34">
      <c r="A9" s="597" t="s">
        <v>678</v>
      </c>
      <c r="B9" s="221"/>
      <c r="C9" s="174"/>
      <c r="D9" s="174"/>
      <c r="E9" s="174"/>
      <c r="F9" s="174"/>
      <c r="G9" s="174"/>
      <c r="H9" s="587"/>
      <c r="I9" s="174"/>
      <c r="J9" s="588">
        <v>0</v>
      </c>
      <c r="K9" s="174" t="s">
        <v>670</v>
      </c>
      <c r="L9" s="174"/>
      <c r="M9" s="174"/>
      <c r="N9" s="174"/>
      <c r="O9" s="174"/>
      <c r="AF9" s="692">
        <v>30</v>
      </c>
      <c r="AG9" s="708"/>
    </row>
    <row r="10" spans="1:34">
      <c r="A10" s="597" t="s">
        <v>679</v>
      </c>
      <c r="B10" s="221"/>
      <c r="C10" s="174"/>
      <c r="D10" s="174"/>
      <c r="E10" s="174"/>
      <c r="F10" s="174"/>
      <c r="G10" s="174"/>
      <c r="H10" s="587"/>
      <c r="I10" s="174"/>
      <c r="J10" s="90">
        <f>IF(J7=0,0,(1-M21)*F114/(J7/100))</f>
        <v>3089.9822890565615</v>
      </c>
      <c r="K10" s="174"/>
      <c r="L10" s="174"/>
      <c r="M10" s="174"/>
      <c r="N10" s="174"/>
      <c r="O10" s="174"/>
      <c r="AF10" s="732">
        <f>(1-AF8)*SH!P37/(AF7/100)</f>
        <v>7536.0174885386814</v>
      </c>
      <c r="AG10" s="708"/>
    </row>
    <row r="11" spans="1:34">
      <c r="A11" s="597" t="s">
        <v>680</v>
      </c>
      <c r="B11" s="221"/>
      <c r="C11" s="174"/>
      <c r="D11" s="174"/>
      <c r="E11" s="174"/>
      <c r="F11" s="174"/>
      <c r="G11" s="174"/>
      <c r="H11" s="587"/>
      <c r="I11" s="174"/>
      <c r="J11" s="90">
        <f>IF(J8=0,0,J8*SH!H14/(J9/100))</f>
        <v>0</v>
      </c>
      <c r="K11" s="518"/>
      <c r="L11" s="174"/>
      <c r="M11" s="174"/>
      <c r="N11" s="174" t="s">
        <v>1485</v>
      </c>
      <c r="O11" s="174"/>
      <c r="AF11" s="732">
        <f>AF8*SH!P14/(AF9/100)</f>
        <v>2194.3871113475088</v>
      </c>
      <c r="AG11" s="708"/>
    </row>
    <row r="12" spans="1:34">
      <c r="A12" s="221" t="s">
        <v>681</v>
      </c>
      <c r="B12" s="221"/>
      <c r="C12" s="174"/>
      <c r="D12" s="174"/>
      <c r="E12" s="174"/>
      <c r="F12" s="174"/>
      <c r="G12" s="174"/>
      <c r="H12" s="587"/>
      <c r="I12" s="174"/>
      <c r="J12" s="588"/>
      <c r="K12" s="174"/>
      <c r="L12" s="174"/>
      <c r="M12" s="174"/>
      <c r="N12" s="823" t="b">
        <f>IF(OR(I14="Heat Pump",I14="Exhaust Air Heat Pump"),TRUE,FALSE)</f>
        <v>0</v>
      </c>
      <c r="O12" s="174"/>
      <c r="AF12" s="692"/>
      <c r="AG12" s="708"/>
    </row>
    <row r="13" spans="1:34">
      <c r="A13" s="48" t="s">
        <v>349</v>
      </c>
      <c r="B13" s="221"/>
      <c r="C13" s="174"/>
      <c r="D13" s="174"/>
      <c r="E13" s="174"/>
      <c r="F13" s="174"/>
      <c r="G13" s="174"/>
      <c r="H13" s="587"/>
      <c r="I13" s="174"/>
      <c r="J13" s="508"/>
      <c r="K13" s="174"/>
      <c r="L13" s="174" t="s">
        <v>666</v>
      </c>
      <c r="M13" s="174"/>
      <c r="N13" s="174" t="s">
        <v>667</v>
      </c>
      <c r="O13" s="174"/>
      <c r="AF13" s="692"/>
      <c r="AG13" s="708"/>
    </row>
    <row r="14" spans="1:34">
      <c r="A14" s="221" t="s">
        <v>682</v>
      </c>
      <c r="B14" s="221"/>
      <c r="C14" s="174"/>
      <c r="D14" s="174"/>
      <c r="E14" s="174"/>
      <c r="F14" s="174"/>
      <c r="G14" s="174"/>
      <c r="H14" s="587"/>
      <c r="I14" s="288" t="s">
        <v>792</v>
      </c>
      <c r="J14" s="588">
        <v>91.3</v>
      </c>
      <c r="K14" s="174" t="s">
        <v>670</v>
      </c>
      <c r="L14" s="269">
        <f>IF(I14="Exhaust Air Heat Pump",Vent!G32,0)</f>
        <v>0</v>
      </c>
      <c r="M14" s="174" t="s">
        <v>154</v>
      </c>
      <c r="N14" s="740">
        <f>IFERROR(IF(OR(I14="Heat Pump",I14="Exhaust Air Heat Pump"),HP!B108*HP!B109,"NA")*100,0)</f>
        <v>0</v>
      </c>
      <c r="O14" s="174" t="s">
        <v>670</v>
      </c>
      <c r="AF14" s="692"/>
      <c r="AG14" s="708"/>
    </row>
    <row r="15" spans="1:34">
      <c r="A15" s="221" t="s">
        <v>673</v>
      </c>
      <c r="B15" s="221"/>
      <c r="C15" s="174"/>
      <c r="D15" s="174"/>
      <c r="E15" s="174"/>
      <c r="F15" s="598" t="s">
        <v>2</v>
      </c>
      <c r="G15" s="174"/>
      <c r="H15" s="587"/>
      <c r="I15" s="174" t="str">
        <f>IF(OR(I14="Heat Pump",I14="Exhaust Air Heat Pump"),"Complete tab HP","")</f>
        <v/>
      </c>
      <c r="J15" s="588">
        <v>1</v>
      </c>
      <c r="K15" s="174" t="s">
        <v>674</v>
      </c>
      <c r="L15" s="174"/>
      <c r="M15" s="174"/>
      <c r="N15" s="174" t="s">
        <v>672</v>
      </c>
      <c r="O15" s="174"/>
      <c r="AF15" s="692"/>
      <c r="AG15" s="708"/>
    </row>
    <row r="16" spans="1:34">
      <c r="A16" s="174" t="s">
        <v>683</v>
      </c>
      <c r="B16" s="221"/>
      <c r="D16" s="174"/>
      <c r="E16" s="174"/>
      <c r="F16" s="174"/>
      <c r="G16" s="174"/>
      <c r="H16" s="587"/>
      <c r="I16" s="174"/>
      <c r="J16" s="596">
        <f>IF(OR(I14="Heat Pump",I14="Exhaust Air Heat Pump"),N14,J14*J15)</f>
        <v>91.3</v>
      </c>
      <c r="K16" s="174"/>
      <c r="L16" s="174"/>
      <c r="M16" s="174"/>
      <c r="N16" s="741">
        <f>MIN(IF(I14="Exhaust Air Heat Pump",HP!B112,1),1)</f>
        <v>1</v>
      </c>
      <c r="O16" s="174" t="s">
        <v>670</v>
      </c>
      <c r="AF16" s="692">
        <v>78</v>
      </c>
      <c r="AG16" s="708"/>
    </row>
    <row r="17" spans="1:34">
      <c r="A17" s="221" t="s">
        <v>684</v>
      </c>
      <c r="B17" s="221"/>
      <c r="C17" s="174"/>
      <c r="D17" s="174"/>
      <c r="E17" s="174"/>
      <c r="F17" s="174"/>
      <c r="G17" s="174"/>
      <c r="H17" s="587"/>
      <c r="I17" s="174"/>
      <c r="J17" s="90">
        <f>IF(J16=0,0,(1-M21)*WhReqt/(J16/100))</f>
        <v>2725.7507665950402</v>
      </c>
      <c r="K17" s="174"/>
      <c r="L17" s="174"/>
      <c r="M17" s="174"/>
      <c r="N17" s="174" t="s">
        <v>685</v>
      </c>
      <c r="O17" s="174"/>
      <c r="AF17" s="713">
        <f>WH!Q100/(AF16/100)</f>
        <v>4747.7855260317174</v>
      </c>
      <c r="AG17" s="708"/>
    </row>
    <row r="18" spans="1:34">
      <c r="A18" s="221" t="s">
        <v>686</v>
      </c>
      <c r="B18" s="221"/>
      <c r="C18" s="174"/>
      <c r="D18" s="174"/>
      <c r="E18" s="174"/>
      <c r="F18" s="174"/>
      <c r="G18" s="174"/>
      <c r="H18" s="587"/>
      <c r="I18" s="174"/>
      <c r="J18" s="90">
        <f>WhReqtSup</f>
        <v>0</v>
      </c>
      <c r="K18" s="174"/>
      <c r="L18" s="174"/>
      <c r="M18" s="174"/>
      <c r="N18" s="742">
        <f>IF(I14="Other",0,(1-M21)*WhReqt)</f>
        <v>2488.6104499012713</v>
      </c>
      <c r="O18" s="174" t="s">
        <v>396</v>
      </c>
      <c r="AF18" s="692">
        <v>0</v>
      </c>
      <c r="AG18" s="708"/>
    </row>
    <row r="19" spans="1:34">
      <c r="A19" s="221"/>
      <c r="B19" s="221"/>
      <c r="C19" s="174"/>
      <c r="D19" s="174"/>
      <c r="E19" s="174"/>
      <c r="F19" s="174"/>
      <c r="G19" s="174"/>
      <c r="H19" s="587"/>
      <c r="I19" s="174"/>
      <c r="J19" s="174"/>
      <c r="K19" s="174"/>
      <c r="L19" s="174"/>
      <c r="M19" s="174"/>
      <c r="N19" s="174"/>
      <c r="O19" s="174"/>
      <c r="AF19" s="692"/>
      <c r="AG19" s="692"/>
    </row>
    <row r="20" spans="1:34">
      <c r="A20" s="13" t="s">
        <v>687</v>
      </c>
      <c r="B20" s="174"/>
      <c r="C20" s="174"/>
      <c r="D20" s="174"/>
      <c r="E20" s="174"/>
      <c r="F20" s="174"/>
      <c r="G20" s="174"/>
      <c r="H20" s="13" t="s">
        <v>688</v>
      </c>
      <c r="I20" s="174"/>
      <c r="J20" s="174"/>
      <c r="K20" s="174"/>
      <c r="L20" s="174"/>
      <c r="M20" s="174"/>
      <c r="N20" s="174"/>
      <c r="O20" s="174"/>
      <c r="AF20" s="692"/>
      <c r="AG20" s="692"/>
    </row>
    <row r="21" spans="1:34">
      <c r="A21" s="13"/>
      <c r="B21" s="174"/>
      <c r="C21" s="174"/>
      <c r="D21" s="174"/>
      <c r="E21" s="508" t="s">
        <v>640</v>
      </c>
      <c r="F21" s="174"/>
      <c r="G21" s="174"/>
      <c r="H21" s="174" t="s">
        <v>689</v>
      </c>
      <c r="I21" s="174"/>
      <c r="J21" s="174"/>
      <c r="K21" s="174"/>
      <c r="L21" s="174"/>
      <c r="M21" s="588">
        <v>0</v>
      </c>
      <c r="N21" s="174"/>
      <c r="O21" s="174"/>
      <c r="AF21" s="692"/>
      <c r="AG21" s="692"/>
    </row>
    <row r="22" spans="1:34">
      <c r="A22" s="174" t="s">
        <v>690</v>
      </c>
      <c r="B22" s="174"/>
      <c r="C22" s="174"/>
      <c r="D22" s="174"/>
      <c r="E22" s="571">
        <f>SH!K25</f>
        <v>97</v>
      </c>
      <c r="F22" s="174"/>
      <c r="G22" s="174"/>
      <c r="H22" s="174" t="s">
        <v>691</v>
      </c>
      <c r="I22" s="174"/>
      <c r="J22" s="174"/>
      <c r="K22" s="174"/>
      <c r="L22" s="174"/>
      <c r="M22" s="599">
        <f>IF(M21&gt;0, M21*(WhReqt+F114),0)</f>
        <v>0</v>
      </c>
      <c r="N22" s="174"/>
      <c r="O22" s="174"/>
      <c r="AF22" s="713">
        <f>SH!P25</f>
        <v>175</v>
      </c>
      <c r="AG22" s="692"/>
    </row>
    <row r="23" spans="1:34">
      <c r="A23" s="221" t="s">
        <v>692</v>
      </c>
      <c r="B23" s="174"/>
      <c r="C23" s="174"/>
      <c r="D23" s="174"/>
      <c r="E23" s="571">
        <f>WH!I92</f>
        <v>0</v>
      </c>
      <c r="F23" s="174"/>
      <c r="G23" s="174"/>
      <c r="H23" s="174"/>
      <c r="I23" s="174"/>
      <c r="J23" s="174"/>
      <c r="K23" s="174"/>
      <c r="L23" s="174"/>
      <c r="M23" s="174"/>
      <c r="N23" s="174"/>
      <c r="O23" s="174"/>
      <c r="AF23" s="692"/>
      <c r="AG23" s="692"/>
    </row>
    <row r="24" spans="1:34">
      <c r="A24" s="221" t="s">
        <v>693</v>
      </c>
      <c r="B24" s="174"/>
      <c r="C24" s="174"/>
      <c r="D24" s="174"/>
      <c r="E24" s="571">
        <f>Vent!G47</f>
        <v>0</v>
      </c>
      <c r="F24" s="174"/>
      <c r="G24" s="174"/>
      <c r="H24" s="174"/>
      <c r="I24" s="174"/>
      <c r="J24" s="174"/>
      <c r="K24" s="174"/>
      <c r="L24" s="174"/>
      <c r="M24" s="174"/>
      <c r="N24" s="174"/>
      <c r="O24" s="174"/>
      <c r="AF24" s="692"/>
      <c r="AG24" s="692"/>
    </row>
    <row r="25" spans="1:34">
      <c r="A25" s="221" t="s">
        <v>694</v>
      </c>
      <c r="B25" s="174"/>
      <c r="C25" s="174"/>
      <c r="D25" s="174"/>
      <c r="E25" s="571">
        <f>WH!G84</f>
        <v>0</v>
      </c>
      <c r="F25" s="174"/>
      <c r="G25" s="174"/>
      <c r="H25" s="174"/>
      <c r="I25" s="174"/>
      <c r="J25" s="174"/>
      <c r="K25" s="174"/>
      <c r="L25" s="174"/>
      <c r="M25" s="174"/>
      <c r="N25" s="174"/>
      <c r="O25" s="174"/>
      <c r="AF25" s="692"/>
      <c r="AG25" s="692"/>
    </row>
    <row r="26" spans="1:34">
      <c r="A26" s="221" t="s">
        <v>695</v>
      </c>
      <c r="B26" s="174"/>
      <c r="C26" s="174"/>
      <c r="D26" s="174"/>
      <c r="E26" s="571">
        <f>WH!F34</f>
        <v>0</v>
      </c>
      <c r="F26" s="174"/>
      <c r="G26" s="174"/>
      <c r="H26" s="174"/>
      <c r="I26" s="174"/>
      <c r="J26" s="174"/>
      <c r="K26" s="174"/>
      <c r="L26" s="174"/>
      <c r="M26" s="174"/>
      <c r="N26" s="174"/>
      <c r="O26" s="174"/>
      <c r="AF26" s="692"/>
      <c r="AG26" s="692"/>
    </row>
    <row r="27" spans="1:34">
      <c r="A27" s="221" t="s">
        <v>696</v>
      </c>
      <c r="B27" s="174"/>
      <c r="C27" s="174"/>
      <c r="D27" s="174"/>
      <c r="E27" s="570">
        <f>SUM(E22:E26)</f>
        <v>97</v>
      </c>
      <c r="F27" s="174"/>
      <c r="G27" s="174"/>
      <c r="H27" s="174"/>
      <c r="I27" s="174"/>
      <c r="J27" s="174"/>
      <c r="K27" s="174"/>
      <c r="L27" s="174"/>
      <c r="M27" s="174"/>
      <c r="N27" s="174"/>
      <c r="O27" s="174"/>
      <c r="AF27" s="692"/>
      <c r="AG27" s="692"/>
    </row>
    <row r="28" spans="1:34">
      <c r="A28" s="174"/>
      <c r="B28" s="221"/>
      <c r="C28" s="174"/>
      <c r="D28" s="174"/>
      <c r="E28" s="174"/>
      <c r="F28" s="174"/>
      <c r="G28" s="174"/>
      <c r="H28" s="174"/>
      <c r="I28" s="174"/>
      <c r="J28" s="174"/>
      <c r="K28" s="174"/>
      <c r="L28" s="174"/>
      <c r="M28" s="174"/>
      <c r="N28" s="174"/>
      <c r="O28" s="174"/>
      <c r="AF28" s="692"/>
      <c r="AG28" s="692"/>
    </row>
    <row r="29" spans="1:34">
      <c r="A29" s="13" t="s">
        <v>697</v>
      </c>
      <c r="B29" s="174"/>
      <c r="C29" s="174"/>
      <c r="D29" s="174"/>
      <c r="E29" s="174"/>
      <c r="F29" s="587"/>
      <c r="G29" s="174"/>
      <c r="H29" s="174"/>
      <c r="I29" s="174"/>
      <c r="J29" s="174"/>
      <c r="K29" s="174"/>
      <c r="L29" s="174"/>
      <c r="M29" s="174"/>
      <c r="N29" s="174"/>
      <c r="O29" s="174"/>
      <c r="AF29" s="692"/>
      <c r="AG29" s="692"/>
    </row>
    <row r="30" spans="1:34" ht="48">
      <c r="A30" s="600"/>
      <c r="B30" s="601"/>
      <c r="C30" s="537"/>
      <c r="D30" s="537" t="s">
        <v>698</v>
      </c>
      <c r="E30" s="537"/>
      <c r="F30" s="537"/>
      <c r="G30" s="537"/>
      <c r="H30" s="156" t="s">
        <v>699</v>
      </c>
      <c r="I30" s="157" t="s">
        <v>700</v>
      </c>
      <c r="J30" s="128"/>
      <c r="K30" s="128"/>
      <c r="L30" s="174"/>
      <c r="M30" s="174"/>
      <c r="N30" s="174"/>
      <c r="O30" s="174"/>
      <c r="S30" s="174"/>
      <c r="AF30" s="708"/>
      <c r="AG30" s="692"/>
    </row>
    <row r="31" spans="1:34">
      <c r="A31" s="236"/>
      <c r="B31" s="296"/>
      <c r="C31" s="175"/>
      <c r="D31" s="175"/>
      <c r="E31" s="175"/>
      <c r="F31" s="175"/>
      <c r="G31" s="175"/>
      <c r="H31" s="602" t="s">
        <v>605</v>
      </c>
      <c r="I31" s="603" t="s">
        <v>701</v>
      </c>
      <c r="J31" s="174"/>
      <c r="K31" s="174"/>
      <c r="L31" s="174"/>
      <c r="M31" s="174"/>
      <c r="N31" s="174"/>
      <c r="O31" s="174"/>
      <c r="S31" s="174"/>
      <c r="AF31" s="708" t="s">
        <v>702</v>
      </c>
      <c r="AG31" s="692" t="s">
        <v>703</v>
      </c>
    </row>
    <row r="32" spans="1:34">
      <c r="A32" s="236" t="s">
        <v>704</v>
      </c>
      <c r="B32" s="604"/>
      <c r="C32" s="175"/>
      <c r="D32" s="850" t="s">
        <v>705</v>
      </c>
      <c r="E32" s="850"/>
      <c r="F32" s="850"/>
      <c r="G32" s="850"/>
      <c r="H32" s="547">
        <f>VLOOKUP($D32,fueldata,5,FALSE)</f>
        <v>1.1000000000000001</v>
      </c>
      <c r="I32" s="605">
        <f>VLOOKUP($D32,fueldata,6,FALSE)</f>
        <v>0.20300000000000001</v>
      </c>
      <c r="J32" s="174"/>
      <c r="K32" s="174"/>
      <c r="L32" s="174"/>
      <c r="M32" s="174"/>
      <c r="N32" s="174"/>
      <c r="O32" s="174"/>
      <c r="P32" s="587"/>
      <c r="S32" s="174"/>
      <c r="AF32" s="733">
        <f>Fuel!G4</f>
        <v>1.1000000000000001</v>
      </c>
      <c r="AG32" s="692">
        <f>Fuel!H4</f>
        <v>0.20300000000000001</v>
      </c>
      <c r="AH32" s="734"/>
    </row>
    <row r="33" spans="1:34">
      <c r="A33" s="236" t="s">
        <v>706</v>
      </c>
      <c r="B33" s="296"/>
      <c r="C33" s="175"/>
      <c r="D33" s="850" t="s">
        <v>103</v>
      </c>
      <c r="E33" s="850"/>
      <c r="F33" s="850"/>
      <c r="G33" s="850"/>
      <c r="H33" s="547">
        <f>VLOOKUP($D33,fueldata,5,FALSE)</f>
        <v>0</v>
      </c>
      <c r="I33" s="605">
        <f>VLOOKUP($D33,fueldata,6,FALSE)</f>
        <v>0</v>
      </c>
      <c r="J33" s="174"/>
      <c r="K33" s="174"/>
      <c r="L33" s="174"/>
      <c r="M33" s="174"/>
      <c r="N33" s="174"/>
      <c r="O33" s="174"/>
      <c r="P33" s="587"/>
      <c r="S33" s="606"/>
      <c r="AF33" s="733">
        <f>Fuel!G17</f>
        <v>1.1000000000000001</v>
      </c>
      <c r="AG33" s="735">
        <f>Fuel!H17</f>
        <v>0.36899999999999999</v>
      </c>
      <c r="AH33" s="734"/>
    </row>
    <row r="34" spans="1:34">
      <c r="A34" s="236" t="s">
        <v>707</v>
      </c>
      <c r="B34" s="296"/>
      <c r="C34" s="607">
        <f>('ER1'!G62+'ER1'!G64+'ER1'!G66)-('ER1'!G61+'ER1'!G63+'ER1'!G65)</f>
        <v>0</v>
      </c>
      <c r="D34" s="850" t="s">
        <v>705</v>
      </c>
      <c r="E34" s="850"/>
      <c r="F34" s="850"/>
      <c r="G34" s="850"/>
      <c r="H34" s="547">
        <f>VLOOKUP($D34,fueldata,5,FALSE)</f>
        <v>1.1000000000000001</v>
      </c>
      <c r="I34" s="605">
        <f>VLOOKUP($D34,fueldata,6,FALSE)</f>
        <v>0.20300000000000001</v>
      </c>
      <c r="J34" s="174"/>
      <c r="K34" s="174"/>
      <c r="L34" s="174"/>
      <c r="M34" s="174"/>
      <c r="N34" s="174"/>
      <c r="O34" s="174"/>
      <c r="P34" s="587"/>
      <c r="S34" s="174"/>
      <c r="AF34" s="733">
        <f>AF32</f>
        <v>1.1000000000000001</v>
      </c>
      <c r="AG34" s="692">
        <f>AG32</f>
        <v>0.20300000000000001</v>
      </c>
      <c r="AH34" s="734"/>
    </row>
    <row r="35" spans="1:34">
      <c r="A35" s="236" t="s">
        <v>708</v>
      </c>
      <c r="B35" s="296"/>
      <c r="C35" s="175"/>
      <c r="D35" s="608" t="str">
        <f>IF(WH!H94 = "Yes",Fuel!C18,"-")</f>
        <v>-</v>
      </c>
      <c r="E35" s="609"/>
      <c r="F35" s="609"/>
      <c r="G35" s="609"/>
      <c r="H35" s="547">
        <f>VLOOKUP($D35,fueldata,5,FALSE)</f>
        <v>0</v>
      </c>
      <c r="I35" s="605">
        <f>VLOOKUP($D35,fueldata,6,FALSE)</f>
        <v>0</v>
      </c>
      <c r="J35" s="174"/>
      <c r="K35" s="174"/>
      <c r="L35" s="174"/>
      <c r="M35" s="174"/>
      <c r="N35" s="174"/>
      <c r="O35" s="174"/>
      <c r="P35" s="587"/>
      <c r="S35" s="174"/>
      <c r="AF35" s="733">
        <v>0</v>
      </c>
      <c r="AG35" s="692">
        <v>0</v>
      </c>
      <c r="AH35" s="734"/>
    </row>
    <row r="36" spans="1:34">
      <c r="A36" s="236" t="s">
        <v>709</v>
      </c>
      <c r="B36" s="296"/>
      <c r="C36" s="175"/>
      <c r="D36" s="175"/>
      <c r="E36" s="175"/>
      <c r="F36" s="175"/>
      <c r="G36" s="175"/>
      <c r="H36" s="610">
        <f>Fuel!G18</f>
        <v>2.08</v>
      </c>
      <c r="I36" s="611">
        <f>Fuel!H18</f>
        <v>0.40899999999999997</v>
      </c>
      <c r="J36" s="612"/>
      <c r="K36" s="613"/>
      <c r="L36" s="267"/>
      <c r="M36" s="267"/>
      <c r="N36" s="267"/>
      <c r="O36" s="174"/>
      <c r="P36" s="518"/>
      <c r="S36" s="606"/>
      <c r="AF36" s="733">
        <f>H36</f>
        <v>2.08</v>
      </c>
      <c r="AG36" s="735">
        <f>I36</f>
        <v>0.40899999999999997</v>
      </c>
      <c r="AH36" s="734"/>
    </row>
    <row r="37" spans="1:34">
      <c r="A37" s="550" t="s">
        <v>710</v>
      </c>
      <c r="B37" s="614"/>
      <c r="C37" s="552"/>
      <c r="D37" s="552"/>
      <c r="E37" s="552"/>
      <c r="F37" s="552"/>
      <c r="G37" s="552"/>
      <c r="H37" s="615">
        <f>H36</f>
        <v>2.08</v>
      </c>
      <c r="I37" s="616">
        <f>I36</f>
        <v>0.40899999999999997</v>
      </c>
      <c r="J37" s="612"/>
      <c r="K37" s="613"/>
      <c r="L37" s="267"/>
      <c r="M37" s="267"/>
      <c r="N37" s="267"/>
      <c r="O37" s="174"/>
      <c r="P37" s="518"/>
      <c r="S37" s="606"/>
      <c r="AF37" s="733">
        <f>H37</f>
        <v>2.08</v>
      </c>
      <c r="AG37" s="735">
        <f>I37</f>
        <v>0.40899999999999997</v>
      </c>
      <c r="AH37" s="734"/>
    </row>
    <row r="38" spans="1:34">
      <c r="A38" s="33" t="s">
        <v>711</v>
      </c>
      <c r="B38" s="617"/>
      <c r="C38" s="537"/>
      <c r="D38" s="537"/>
      <c r="E38" s="537"/>
      <c r="F38" s="537"/>
      <c r="G38" s="537"/>
      <c r="H38" s="618"/>
      <c r="I38" s="618"/>
      <c r="J38" s="33" t="s">
        <v>712</v>
      </c>
      <c r="K38" s="537"/>
      <c r="L38" s="537"/>
      <c r="M38" s="537"/>
      <c r="N38" s="537"/>
      <c r="O38" s="538"/>
      <c r="AF38" s="692"/>
      <c r="AG38" s="708"/>
    </row>
    <row r="39" spans="1:34">
      <c r="A39" s="236" t="s">
        <v>713</v>
      </c>
      <c r="B39" s="296" t="s">
        <v>714</v>
      </c>
      <c r="C39" s="175"/>
      <c r="D39" s="850" t="s">
        <v>2</v>
      </c>
      <c r="E39" s="851"/>
      <c r="F39" s="851"/>
      <c r="G39" s="851"/>
      <c r="H39" s="547"/>
      <c r="I39" s="547"/>
      <c r="J39" s="619" t="s">
        <v>691</v>
      </c>
      <c r="K39" s="620"/>
      <c r="L39" s="620"/>
      <c r="M39" s="620"/>
      <c r="N39" s="621">
        <f>M22</f>
        <v>0</v>
      </c>
      <c r="O39" s="539"/>
      <c r="AF39" s="692"/>
      <c r="AG39" s="708"/>
    </row>
    <row r="40" spans="1:34">
      <c r="A40" s="236"/>
      <c r="B40" s="175" t="s">
        <v>715</v>
      </c>
      <c r="C40" s="175"/>
      <c r="D40" s="175"/>
      <c r="E40" s="175"/>
      <c r="F40" s="175"/>
      <c r="G40" s="175"/>
      <c r="H40" s="622">
        <v>2.08</v>
      </c>
      <c r="I40" s="622">
        <v>0.40899999999999997</v>
      </c>
      <c r="J40" s="623" t="s">
        <v>716</v>
      </c>
      <c r="K40" s="620"/>
      <c r="L40" s="620"/>
      <c r="M40" s="620"/>
      <c r="N40" s="624">
        <v>0.3</v>
      </c>
      <c r="O40" s="539"/>
      <c r="AF40" s="692"/>
      <c r="AG40" s="708"/>
    </row>
    <row r="41" spans="1:34">
      <c r="A41" s="236"/>
      <c r="B41" s="175" t="s">
        <v>717</v>
      </c>
      <c r="C41" s="175"/>
      <c r="D41" s="175"/>
      <c r="E41" s="175"/>
      <c r="F41" s="175"/>
      <c r="G41" s="175"/>
      <c r="H41" s="622"/>
      <c r="I41" s="622"/>
      <c r="J41" s="623" t="s">
        <v>718</v>
      </c>
      <c r="K41" s="620"/>
      <c r="L41" s="620"/>
      <c r="M41" s="620"/>
      <c r="N41" s="624">
        <v>0.5</v>
      </c>
      <c r="O41" s="539"/>
      <c r="AF41" s="692"/>
      <c r="AG41" s="708"/>
    </row>
    <row r="42" spans="1:34">
      <c r="A42" s="236" t="s">
        <v>719</v>
      </c>
      <c r="B42" s="296" t="s">
        <v>714</v>
      </c>
      <c r="C42" s="175"/>
      <c r="D42" s="850"/>
      <c r="E42" s="851"/>
      <c r="F42" s="851"/>
      <c r="G42" s="851"/>
      <c r="H42" s="625"/>
      <c r="I42" s="625"/>
      <c r="J42" s="626" t="s">
        <v>720</v>
      </c>
      <c r="K42" s="627"/>
      <c r="L42" s="850" t="s">
        <v>705</v>
      </c>
      <c r="M42" s="850"/>
      <c r="N42" s="850"/>
      <c r="O42" s="854"/>
      <c r="AF42" s="692"/>
      <c r="AG42" s="708"/>
    </row>
    <row r="43" spans="1:34">
      <c r="A43" s="236"/>
      <c r="B43" s="175" t="s">
        <v>715</v>
      </c>
      <c r="C43" s="175"/>
      <c r="D43" s="175"/>
      <c r="E43" s="175"/>
      <c r="F43" s="175"/>
      <c r="G43" s="175"/>
      <c r="H43" s="622"/>
      <c r="I43" s="622"/>
      <c r="J43" s="249" t="s">
        <v>721</v>
      </c>
      <c r="K43" s="620"/>
      <c r="L43" s="620"/>
      <c r="M43" s="620"/>
      <c r="N43" s="547">
        <f>VLOOKUP($L42,fueldata,5,FALSE)</f>
        <v>1.1000000000000001</v>
      </c>
      <c r="O43" s="539"/>
      <c r="AF43" s="692"/>
      <c r="AG43" s="708"/>
    </row>
    <row r="44" spans="1:34">
      <c r="A44" s="236"/>
      <c r="B44" s="175" t="s">
        <v>717</v>
      </c>
      <c r="C44" s="175"/>
      <c r="D44" s="175"/>
      <c r="E44" s="175"/>
      <c r="F44" s="175"/>
      <c r="G44" s="175"/>
      <c r="H44" s="622"/>
      <c r="I44" s="622"/>
      <c r="J44" s="249" t="s">
        <v>722</v>
      </c>
      <c r="K44" s="620"/>
      <c r="L44" s="620"/>
      <c r="M44" s="620"/>
      <c r="N44" s="628">
        <f>VLOOKUP($L42,fueldata,6,FALSE)</f>
        <v>0.20300000000000001</v>
      </c>
      <c r="O44" s="539"/>
      <c r="AF44" s="692"/>
      <c r="AG44" s="708"/>
    </row>
    <row r="45" spans="1:34">
      <c r="A45" s="236" t="s">
        <v>723</v>
      </c>
      <c r="B45" s="296" t="s">
        <v>714</v>
      </c>
      <c r="C45" s="175"/>
      <c r="D45" s="850"/>
      <c r="E45" s="851"/>
      <c r="F45" s="851"/>
      <c r="G45" s="851"/>
      <c r="H45" s="625"/>
      <c r="I45" s="625"/>
      <c r="J45" s="249" t="s">
        <v>724</v>
      </c>
      <c r="K45" s="620"/>
      <c r="L45" s="620"/>
      <c r="M45" s="620"/>
      <c r="N45" s="621">
        <f>IF(N41=0,0,N39/N41)</f>
        <v>0</v>
      </c>
      <c r="O45" s="539"/>
      <c r="AF45" s="692"/>
      <c r="AG45" s="708"/>
    </row>
    <row r="46" spans="1:34">
      <c r="A46" s="236"/>
      <c r="B46" s="175" t="s">
        <v>715</v>
      </c>
      <c r="C46" s="175"/>
      <c r="D46" s="175"/>
      <c r="E46" s="175"/>
      <c r="F46" s="175"/>
      <c r="G46" s="175"/>
      <c r="H46" s="622"/>
      <c r="I46" s="622"/>
      <c r="J46" s="629" t="s">
        <v>725</v>
      </c>
      <c r="K46" s="630"/>
      <c r="L46" s="630"/>
      <c r="M46" s="630"/>
      <c r="N46" s="631">
        <f>N45*N40</f>
        <v>0</v>
      </c>
      <c r="O46" s="553"/>
      <c r="AF46" s="692"/>
      <c r="AG46" s="708"/>
    </row>
    <row r="47" spans="1:34">
      <c r="A47" s="550"/>
      <c r="B47" s="552" t="s">
        <v>717</v>
      </c>
      <c r="C47" s="552"/>
      <c r="D47" s="552"/>
      <c r="E47" s="552"/>
      <c r="F47" s="552"/>
      <c r="G47" s="552"/>
      <c r="H47" s="632"/>
      <c r="I47" s="633"/>
      <c r="J47" s="269"/>
      <c r="K47" s="267"/>
      <c r="L47" s="267"/>
      <c r="M47" s="267"/>
      <c r="N47" s="267"/>
      <c r="O47" s="174"/>
      <c r="AF47" s="692"/>
      <c r="AG47" s="708"/>
    </row>
    <row r="48" spans="1:34">
      <c r="A48" s="174"/>
      <c r="B48" s="174"/>
      <c r="C48" s="174"/>
      <c r="D48" s="174"/>
      <c r="E48" s="174"/>
      <c r="F48" s="587"/>
      <c r="G48" s="174"/>
      <c r="H48" s="174"/>
      <c r="I48" s="174"/>
      <c r="J48" s="174"/>
      <c r="K48" s="174"/>
      <c r="L48" s="174"/>
      <c r="M48" s="174"/>
      <c r="N48" s="174"/>
      <c r="O48" s="174"/>
      <c r="AF48" s="692"/>
      <c r="AG48" s="708"/>
    </row>
    <row r="49" spans="1:34">
      <c r="A49" s="13" t="s">
        <v>726</v>
      </c>
      <c r="B49" s="174"/>
      <c r="C49" s="174"/>
      <c r="D49" s="174"/>
      <c r="E49" s="174"/>
      <c r="F49" s="587"/>
      <c r="G49" s="174"/>
      <c r="H49" s="174"/>
      <c r="I49" s="174"/>
      <c r="J49" s="174"/>
      <c r="K49" s="174"/>
      <c r="L49" s="174"/>
      <c r="M49" s="174"/>
      <c r="N49" s="174"/>
      <c r="O49" s="174"/>
      <c r="AF49" s="692"/>
      <c r="AG49" s="708"/>
    </row>
    <row r="50" spans="1:34" ht="28.5" customHeight="1">
      <c r="A50" s="174"/>
      <c r="B50" s="174"/>
      <c r="C50" s="174"/>
      <c r="D50" s="174"/>
      <c r="E50" s="174"/>
      <c r="F50" s="91" t="s">
        <v>727</v>
      </c>
      <c r="G50" s="91" t="s">
        <v>728</v>
      </c>
      <c r="H50" s="91" t="s">
        <v>729</v>
      </c>
      <c r="I50" s="174"/>
      <c r="J50" s="91"/>
      <c r="K50" s="91" t="s">
        <v>2</v>
      </c>
      <c r="L50" s="174"/>
      <c r="M50" s="174"/>
      <c r="N50" s="174"/>
      <c r="O50" s="174"/>
      <c r="AF50" s="692"/>
      <c r="AG50" s="708"/>
    </row>
    <row r="51" spans="1:34">
      <c r="A51" s="174"/>
      <c r="B51" s="174"/>
      <c r="C51" s="174"/>
      <c r="D51" s="174"/>
      <c r="E51" s="174"/>
      <c r="F51" s="508" t="s">
        <v>640</v>
      </c>
      <c r="G51" s="508" t="s">
        <v>640</v>
      </c>
      <c r="H51" s="508" t="s">
        <v>730</v>
      </c>
      <c r="I51" s="174"/>
      <c r="J51" s="174"/>
      <c r="K51" s="174"/>
      <c r="L51" s="174"/>
      <c r="M51" s="174"/>
      <c r="N51" s="174"/>
      <c r="O51" s="174"/>
      <c r="P51" s="174"/>
      <c r="S51" s="174"/>
      <c r="AF51" s="692" t="s">
        <v>731</v>
      </c>
      <c r="AG51" s="692" t="s">
        <v>732</v>
      </c>
      <c r="AH51" s="692" t="s">
        <v>733</v>
      </c>
    </row>
    <row r="52" spans="1:34">
      <c r="A52" s="174" t="s">
        <v>704</v>
      </c>
      <c r="B52" s="174"/>
      <c r="C52" s="174"/>
      <c r="D52" s="174"/>
      <c r="E52" s="174"/>
      <c r="F52" s="634">
        <f>J10</f>
        <v>3089.9822890565615</v>
      </c>
      <c r="G52" s="634">
        <f t="shared" ref="G52:G57" si="0">F52*H32</f>
        <v>3398.9805179622181</v>
      </c>
      <c r="H52" s="570">
        <f t="shared" ref="H52:H57" si="1">F52*I32</f>
        <v>627.26640467848199</v>
      </c>
      <c r="I52" s="174"/>
      <c r="J52" s="173"/>
      <c r="K52" s="173" t="s">
        <v>2</v>
      </c>
      <c r="L52" s="174"/>
      <c r="M52" s="174"/>
      <c r="N52" s="174"/>
      <c r="O52" s="174"/>
      <c r="P52" s="598"/>
      <c r="S52" s="34"/>
      <c r="AF52" s="736">
        <f>AF10</f>
        <v>7536.0174885386814</v>
      </c>
      <c r="AG52" s="716">
        <f t="shared" ref="AG52:AH57" si="2">$AF52*AF32</f>
        <v>8289.6192373925496</v>
      </c>
      <c r="AH52" s="716">
        <f t="shared" si="2"/>
        <v>1529.8115501733523</v>
      </c>
    </row>
    <row r="53" spans="1:34">
      <c r="A53" s="174" t="s">
        <v>706</v>
      </c>
      <c r="B53" s="174"/>
      <c r="C53" s="174"/>
      <c r="D53" s="174"/>
      <c r="E53" s="174"/>
      <c r="F53" s="634">
        <f>J11</f>
        <v>0</v>
      </c>
      <c r="G53" s="634">
        <f t="shared" si="0"/>
        <v>0</v>
      </c>
      <c r="H53" s="570">
        <f t="shared" si="1"/>
        <v>0</v>
      </c>
      <c r="I53" s="174"/>
      <c r="J53" s="173"/>
      <c r="K53" s="174"/>
      <c r="L53" s="174"/>
      <c r="M53" s="174"/>
      <c r="N53" s="174"/>
      <c r="O53" s="174"/>
      <c r="P53" s="598"/>
      <c r="S53" s="34"/>
      <c r="AF53" s="736">
        <f>AF11</f>
        <v>2194.3871113475088</v>
      </c>
      <c r="AG53" s="716">
        <f t="shared" si="2"/>
        <v>2413.8258224822598</v>
      </c>
      <c r="AH53" s="716">
        <f t="shared" si="2"/>
        <v>809.72884408723075</v>
      </c>
    </row>
    <row r="54" spans="1:34">
      <c r="A54" s="174" t="s">
        <v>707</v>
      </c>
      <c r="B54" s="174"/>
      <c r="C54" s="174"/>
      <c r="D54" s="174"/>
      <c r="E54" s="174"/>
      <c r="F54" s="634">
        <f>J17</f>
        <v>2725.7507665950402</v>
      </c>
      <c r="G54" s="634">
        <f t="shared" si="0"/>
        <v>2998.3258432545445</v>
      </c>
      <c r="H54" s="570">
        <f t="shared" si="1"/>
        <v>553.32740561879325</v>
      </c>
      <c r="I54" s="174"/>
      <c r="J54" s="173"/>
      <c r="K54" s="174"/>
      <c r="L54" s="174"/>
      <c r="M54" s="174"/>
      <c r="N54" s="174"/>
      <c r="O54" s="174"/>
      <c r="P54" s="598"/>
      <c r="S54" s="34"/>
      <c r="AF54" s="736">
        <f>AF17</f>
        <v>4747.7855260317174</v>
      </c>
      <c r="AG54" s="716">
        <f t="shared" si="2"/>
        <v>5222.5640786348895</v>
      </c>
      <c r="AH54" s="716">
        <f t="shared" si="2"/>
        <v>963.80046178443865</v>
      </c>
    </row>
    <row r="55" spans="1:34">
      <c r="A55" s="174" t="s">
        <v>708</v>
      </c>
      <c r="B55" s="174"/>
      <c r="C55" s="174"/>
      <c r="D55" s="174"/>
      <c r="E55" s="174"/>
      <c r="F55" s="634">
        <f>J18</f>
        <v>0</v>
      </c>
      <c r="G55" s="634">
        <f t="shared" si="0"/>
        <v>0</v>
      </c>
      <c r="H55" s="570">
        <f t="shared" si="1"/>
        <v>0</v>
      </c>
      <c r="I55" s="174"/>
      <c r="J55" s="173"/>
      <c r="K55" s="174"/>
      <c r="L55" s="174"/>
      <c r="M55" s="174"/>
      <c r="N55" s="174"/>
      <c r="O55" s="174"/>
      <c r="P55" s="598"/>
      <c r="S55" s="34"/>
      <c r="AF55" s="736">
        <v>0</v>
      </c>
      <c r="AG55" s="716">
        <f t="shared" si="2"/>
        <v>0</v>
      </c>
      <c r="AH55" s="716">
        <f t="shared" si="2"/>
        <v>0</v>
      </c>
    </row>
    <row r="56" spans="1:34">
      <c r="A56" s="174" t="s">
        <v>734</v>
      </c>
      <c r="B56" s="174"/>
      <c r="C56" s="174"/>
      <c r="D56" s="174"/>
      <c r="E56" s="174"/>
      <c r="F56" s="634">
        <f>E27</f>
        <v>97</v>
      </c>
      <c r="G56" s="634">
        <f t="shared" si="0"/>
        <v>201.76000000000002</v>
      </c>
      <c r="H56" s="570">
        <f t="shared" si="1"/>
        <v>39.672999999999995</v>
      </c>
      <c r="I56" s="174"/>
      <c r="J56" s="173"/>
      <c r="K56" s="174"/>
      <c r="L56" s="174"/>
      <c r="M56" s="174"/>
      <c r="N56" s="174"/>
      <c r="O56" s="174"/>
      <c r="P56" s="598"/>
      <c r="S56" s="34"/>
      <c r="AF56" s="736">
        <f>AF22</f>
        <v>175</v>
      </c>
      <c r="AG56" s="716">
        <f t="shared" si="2"/>
        <v>364</v>
      </c>
      <c r="AH56" s="716">
        <f t="shared" si="2"/>
        <v>71.574999999999989</v>
      </c>
    </row>
    <row r="57" spans="1:34">
      <c r="A57" s="174" t="s">
        <v>710</v>
      </c>
      <c r="B57" s="174"/>
      <c r="C57" s="174"/>
      <c r="D57" s="174"/>
      <c r="E57" s="174"/>
      <c r="F57" s="634">
        <f>Light!G56</f>
        <v>246.51445106940128</v>
      </c>
      <c r="G57" s="634">
        <f t="shared" si="0"/>
        <v>512.75005822435469</v>
      </c>
      <c r="H57" s="570">
        <f t="shared" si="1"/>
        <v>100.82441048738511</v>
      </c>
      <c r="I57" s="174"/>
      <c r="J57" s="173"/>
      <c r="K57" s="174"/>
      <c r="L57" s="174"/>
      <c r="M57" s="174"/>
      <c r="N57" s="174"/>
      <c r="O57" s="174"/>
      <c r="P57" s="598"/>
      <c r="S57" s="34"/>
      <c r="AF57" s="736">
        <f>Light!L56</f>
        <v>923.43580578167837</v>
      </c>
      <c r="AG57" s="716">
        <f t="shared" si="2"/>
        <v>1920.7464760258911</v>
      </c>
      <c r="AH57" s="716">
        <f t="shared" si="2"/>
        <v>377.68524456470641</v>
      </c>
    </row>
    <row r="58" spans="1:34">
      <c r="A58" s="174" t="s">
        <v>735</v>
      </c>
      <c r="B58" s="174"/>
      <c r="C58" s="174"/>
      <c r="D58" s="174"/>
      <c r="E58" s="174"/>
      <c r="F58" s="634">
        <f>N45</f>
        <v>0</v>
      </c>
      <c r="G58" s="634">
        <f>F58*N43</f>
        <v>0</v>
      </c>
      <c r="H58" s="570">
        <f>F58*N44</f>
        <v>0</v>
      </c>
      <c r="I58" s="174"/>
      <c r="J58" s="173"/>
      <c r="K58" s="174"/>
      <c r="L58" s="174"/>
      <c r="M58" s="174"/>
      <c r="N58" s="174"/>
      <c r="O58" s="174"/>
      <c r="P58" s="49"/>
      <c r="AF58" s="736"/>
      <c r="AG58" s="692"/>
    </row>
    <row r="59" spans="1:34">
      <c r="A59" s="174" t="s">
        <v>736</v>
      </c>
      <c r="B59" s="174"/>
      <c r="C59" s="174"/>
      <c r="D59" s="174"/>
      <c r="E59" s="174"/>
      <c r="F59" s="634">
        <f>N46</f>
        <v>0</v>
      </c>
      <c r="G59" s="634">
        <f>F59*Fuel!G19</f>
        <v>0</v>
      </c>
      <c r="H59" s="634">
        <f>F59*Fuel!H19</f>
        <v>0</v>
      </c>
      <c r="I59" s="174"/>
      <c r="J59" s="173"/>
      <c r="K59" s="174"/>
      <c r="L59" s="174"/>
      <c r="M59" s="174"/>
      <c r="N59" s="174"/>
      <c r="O59" s="174"/>
      <c r="P59" s="598"/>
      <c r="S59" s="598"/>
      <c r="AF59" s="708" t="s">
        <v>696</v>
      </c>
      <c r="AG59" s="736">
        <f>SUM(AG52:AG57)</f>
        <v>18210.755614535592</v>
      </c>
      <c r="AH59" s="736">
        <f>SUM(AH52:AH57)</f>
        <v>3752.6011006097278</v>
      </c>
    </row>
    <row r="60" spans="1:34">
      <c r="A60" s="174" t="s">
        <v>737</v>
      </c>
      <c r="B60" s="174"/>
      <c r="C60" s="174"/>
      <c r="D60" s="174"/>
      <c r="E60" s="174"/>
      <c r="F60" s="635">
        <f>0.8*1.25*886</f>
        <v>886</v>
      </c>
      <c r="G60" s="634">
        <f>F60*H37</f>
        <v>1842.88</v>
      </c>
      <c r="H60" s="570">
        <f>F60*I37</f>
        <v>362.37399999999997</v>
      </c>
      <c r="I60" s="174"/>
      <c r="J60" s="173" t="s">
        <v>2</v>
      </c>
      <c r="K60" s="174"/>
      <c r="L60" s="174"/>
      <c r="M60" s="174"/>
      <c r="N60" s="174"/>
      <c r="O60" s="174"/>
      <c r="P60" s="598"/>
      <c r="S60" s="598"/>
      <c r="AF60" s="708" t="s">
        <v>738</v>
      </c>
      <c r="AG60" s="737">
        <f>AG59/tfa</f>
        <v>144.5298064645682</v>
      </c>
      <c r="AH60" s="738">
        <f>AH59/tfa</f>
        <v>29.782548417537523</v>
      </c>
    </row>
    <row r="61" spans="1:34">
      <c r="A61" s="174" t="s">
        <v>713</v>
      </c>
      <c r="B61" s="174" t="s">
        <v>739</v>
      </c>
      <c r="C61" s="174"/>
      <c r="D61" s="174"/>
      <c r="E61" s="174"/>
      <c r="F61" s="636">
        <v>0</v>
      </c>
      <c r="G61" s="634">
        <f>$F61*H40</f>
        <v>0</v>
      </c>
      <c r="H61" s="634">
        <f>$F61*I40</f>
        <v>0</v>
      </c>
      <c r="I61" s="174"/>
      <c r="J61" s="173"/>
      <c r="K61" s="174"/>
      <c r="L61" s="174"/>
      <c r="M61" s="174"/>
      <c r="N61" s="174"/>
      <c r="O61" s="174"/>
      <c r="P61" s="637"/>
      <c r="S61" s="638"/>
      <c r="AF61" s="692"/>
      <c r="AG61" s="692"/>
    </row>
    <row r="62" spans="1:34">
      <c r="A62" s="174"/>
      <c r="B62" s="174" t="s">
        <v>740</v>
      </c>
      <c r="C62" s="174"/>
      <c r="D62" s="174"/>
      <c r="E62" s="174"/>
      <c r="F62" s="636"/>
      <c r="G62" s="634">
        <f>$F62*H41</f>
        <v>0</v>
      </c>
      <c r="H62" s="634">
        <f>$F62*I41</f>
        <v>0</v>
      </c>
      <c r="I62" s="174"/>
      <c r="J62" s="173" t="s">
        <v>2</v>
      </c>
      <c r="K62" s="174"/>
      <c r="L62" s="174"/>
      <c r="M62" s="174"/>
      <c r="N62" s="174"/>
      <c r="O62" s="174"/>
      <c r="P62" s="637"/>
      <c r="S62" s="638"/>
      <c r="AF62" s="708"/>
      <c r="AG62" s="737"/>
      <c r="AH62" s="738"/>
    </row>
    <row r="63" spans="1:34">
      <c r="A63" s="174" t="s">
        <v>719</v>
      </c>
      <c r="B63" s="174" t="s">
        <v>739</v>
      </c>
      <c r="C63" s="174"/>
      <c r="D63" s="174"/>
      <c r="E63" s="174"/>
      <c r="F63" s="636"/>
      <c r="G63" s="634">
        <f>$F63*H43</f>
        <v>0</v>
      </c>
      <c r="H63" s="634">
        <f>$F63*I43</f>
        <v>0</v>
      </c>
      <c r="I63" s="174"/>
      <c r="J63" s="173" t="s">
        <v>2</v>
      </c>
      <c r="K63" s="174"/>
      <c r="L63" s="174"/>
      <c r="M63" s="174"/>
      <c r="N63" s="174"/>
      <c r="O63" s="174"/>
      <c r="P63" s="637"/>
      <c r="S63" s="638"/>
      <c r="AF63" s="708"/>
      <c r="AG63" s="737"/>
      <c r="AH63" s="738"/>
    </row>
    <row r="64" spans="1:34">
      <c r="A64" s="174"/>
      <c r="B64" s="174" t="s">
        <v>740</v>
      </c>
      <c r="C64" s="174"/>
      <c r="D64" s="174"/>
      <c r="E64" s="174"/>
      <c r="F64" s="636"/>
      <c r="G64" s="634">
        <f>$F64*H44</f>
        <v>0</v>
      </c>
      <c r="H64" s="634">
        <f>$F64*I44</f>
        <v>0</v>
      </c>
      <c r="I64" s="174"/>
      <c r="J64" s="173" t="s">
        <v>2</v>
      </c>
      <c r="K64" s="174"/>
      <c r="L64" s="174"/>
      <c r="M64" s="174"/>
      <c r="N64" s="174"/>
      <c r="O64" s="174"/>
      <c r="P64" s="637"/>
      <c r="S64" s="638"/>
      <c r="AF64" s="708"/>
      <c r="AG64" s="737"/>
      <c r="AH64" s="738"/>
    </row>
    <row r="65" spans="1:34">
      <c r="A65" s="174" t="s">
        <v>723</v>
      </c>
      <c r="B65" s="174" t="s">
        <v>739</v>
      </c>
      <c r="C65" s="174"/>
      <c r="D65" s="174"/>
      <c r="E65" s="174"/>
      <c r="F65" s="636"/>
      <c r="G65" s="634">
        <f>$F65*H46</f>
        <v>0</v>
      </c>
      <c r="H65" s="634">
        <f>$F65*I46</f>
        <v>0</v>
      </c>
      <c r="I65" s="174"/>
      <c r="J65" s="173" t="s">
        <v>2</v>
      </c>
      <c r="K65" s="174"/>
      <c r="L65" s="174"/>
      <c r="M65" s="174"/>
      <c r="N65" s="174"/>
      <c r="O65" s="174"/>
      <c r="P65" s="637"/>
      <c r="S65" s="638"/>
      <c r="AF65" s="708"/>
      <c r="AG65" s="737"/>
      <c r="AH65" s="738"/>
    </row>
    <row r="66" spans="1:34">
      <c r="A66" s="174"/>
      <c r="B66" s="174" t="s">
        <v>740</v>
      </c>
      <c r="C66" s="174"/>
      <c r="D66" s="174"/>
      <c r="E66" s="174"/>
      <c r="F66" s="636"/>
      <c r="G66" s="634">
        <f>$F66*H47</f>
        <v>0</v>
      </c>
      <c r="H66" s="634">
        <f>$F66*I47</f>
        <v>0</v>
      </c>
      <c r="I66" s="174"/>
      <c r="J66" s="173" t="s">
        <v>2</v>
      </c>
      <c r="K66" s="174"/>
      <c r="L66" s="174"/>
      <c r="M66" s="174"/>
      <c r="N66" s="174"/>
      <c r="O66" s="174"/>
      <c r="P66" s="637"/>
      <c r="S66" s="638"/>
      <c r="AF66" s="708"/>
      <c r="AG66" s="737"/>
      <c r="AH66" s="738"/>
    </row>
    <row r="67" spans="1:34">
      <c r="A67" s="269"/>
      <c r="B67" s="269"/>
      <c r="C67" s="269"/>
      <c r="D67" s="269"/>
      <c r="E67" s="639"/>
      <c r="F67" s="639"/>
      <c r="G67" s="639"/>
      <c r="H67" s="639"/>
      <c r="I67" s="174"/>
      <c r="J67" s="173" t="s">
        <v>2</v>
      </c>
      <c r="K67" s="174"/>
      <c r="L67" s="174"/>
      <c r="M67" s="174"/>
      <c r="N67" s="174"/>
      <c r="O67" s="174"/>
      <c r="P67" s="598"/>
      <c r="R67" s="598"/>
      <c r="S67" s="598"/>
      <c r="AF67" s="736"/>
      <c r="AG67" s="736"/>
      <c r="AH67" s="736"/>
    </row>
    <row r="68" spans="1:34">
      <c r="A68" s="269"/>
      <c r="B68" s="269"/>
      <c r="C68" s="269"/>
      <c r="D68" s="269"/>
      <c r="E68" s="639"/>
      <c r="F68" s="639"/>
      <c r="G68" s="639"/>
      <c r="H68" s="639"/>
      <c r="I68" s="174"/>
      <c r="J68" s="174"/>
      <c r="K68" s="174"/>
      <c r="L68" s="174"/>
      <c r="M68" s="174"/>
      <c r="N68" s="174"/>
      <c r="O68" s="174"/>
      <c r="P68" s="598"/>
      <c r="R68" s="598"/>
      <c r="S68" s="598"/>
      <c r="AF68" s="736"/>
      <c r="AG68" s="736"/>
      <c r="AH68" s="736"/>
    </row>
    <row r="69" spans="1:34">
      <c r="A69" s="14"/>
      <c r="B69" s="14"/>
      <c r="C69" s="14"/>
      <c r="D69" s="14"/>
      <c r="E69" s="14"/>
      <c r="F69" s="14"/>
      <c r="G69" s="14"/>
      <c r="H69" s="14"/>
      <c r="I69" s="14"/>
      <c r="J69" s="14"/>
      <c r="K69" s="14"/>
      <c r="L69" s="14"/>
      <c r="M69" s="14"/>
      <c r="N69" s="14"/>
      <c r="O69" s="174"/>
      <c r="P69" s="598"/>
      <c r="R69" s="598"/>
      <c r="S69" s="598"/>
      <c r="AF69" s="736"/>
      <c r="AG69" s="736"/>
      <c r="AH69" s="736"/>
    </row>
    <row r="70" spans="1:34">
      <c r="A70" s="33" t="s">
        <v>1375</v>
      </c>
      <c r="B70" s="111"/>
      <c r="C70" s="111"/>
      <c r="D70" s="111"/>
      <c r="E70" s="111"/>
      <c r="F70" s="111"/>
      <c r="G70" s="111"/>
      <c r="H70" s="111"/>
      <c r="I70" s="111"/>
      <c r="J70" s="111"/>
      <c r="K70" s="111"/>
      <c r="L70" s="111"/>
      <c r="M70" s="111"/>
      <c r="N70" s="115"/>
      <c r="O70" s="174"/>
      <c r="P70" s="598"/>
      <c r="Q70" s="670" t="s">
        <v>1376</v>
      </c>
      <c r="R70" s="671"/>
      <c r="S70" s="671"/>
      <c r="T70" s="671"/>
      <c r="U70" s="671"/>
      <c r="V70" s="671"/>
      <c r="W70" s="671"/>
      <c r="X70" s="672">
        <v>2011</v>
      </c>
      <c r="Y70" s="671"/>
      <c r="Z70" s="671"/>
      <c r="AA70" s="671"/>
      <c r="AB70" s="671"/>
      <c r="AC70" s="671"/>
      <c r="AD70" s="538"/>
      <c r="AF70" s="736"/>
      <c r="AG70" s="736"/>
      <c r="AH70" s="736"/>
    </row>
    <row r="71" spans="1:34" ht="36">
      <c r="A71" s="226"/>
      <c r="B71" s="175"/>
      <c r="C71" s="227" t="s">
        <v>741</v>
      </c>
      <c r="D71" s="227" t="s">
        <v>742</v>
      </c>
      <c r="E71" s="227" t="s">
        <v>743</v>
      </c>
      <c r="F71" s="227" t="s">
        <v>744</v>
      </c>
      <c r="G71" s="227" t="s">
        <v>745</v>
      </c>
      <c r="H71" s="228"/>
      <c r="I71" s="228"/>
      <c r="J71" s="229"/>
      <c r="K71" s="230"/>
      <c r="L71" s="477"/>
      <c r="M71" s="231"/>
      <c r="N71" s="232"/>
      <c r="O71" s="174"/>
      <c r="Q71" s="125" t="s">
        <v>814</v>
      </c>
      <c r="R71" s="11"/>
      <c r="S71" s="11"/>
      <c r="T71" s="11"/>
      <c r="U71" s="11"/>
      <c r="V71" s="11"/>
      <c r="W71" s="11"/>
      <c r="X71" s="11"/>
      <c r="Y71" s="11"/>
      <c r="Z71" s="11"/>
      <c r="AA71" s="11"/>
      <c r="AB71" s="11"/>
      <c r="AC71" s="11"/>
      <c r="AD71" s="539"/>
      <c r="AF71" s="692"/>
      <c r="AG71" s="692"/>
    </row>
    <row r="72" spans="1:34" ht="15.75">
      <c r="A72" s="226"/>
      <c r="B72" s="175"/>
      <c r="C72" s="175"/>
      <c r="D72" s="175"/>
      <c r="E72" s="229"/>
      <c r="F72" s="229"/>
      <c r="G72" s="229"/>
      <c r="H72" s="228"/>
      <c r="I72" s="233" t="s">
        <v>669</v>
      </c>
      <c r="J72" s="233"/>
      <c r="K72" s="234" t="s">
        <v>746</v>
      </c>
      <c r="L72" s="229" t="s">
        <v>747</v>
      </c>
      <c r="M72" s="230" t="s">
        <v>748</v>
      </c>
      <c r="N72" s="235" t="s">
        <v>749</v>
      </c>
      <c r="O72" s="174"/>
      <c r="Q72" s="125"/>
      <c r="R72" s="11"/>
      <c r="S72" s="11"/>
      <c r="T72" s="11"/>
      <c r="U72" s="11"/>
      <c r="V72" s="11"/>
      <c r="W72" s="11"/>
      <c r="X72" s="11"/>
      <c r="Y72" s="556"/>
      <c r="Z72" s="11"/>
      <c r="AA72" s="11"/>
      <c r="AB72" s="11"/>
      <c r="AC72" s="11"/>
      <c r="AD72" s="539"/>
      <c r="AF72" s="692"/>
      <c r="AG72" s="692"/>
    </row>
    <row r="73" spans="1:34" ht="15.75">
      <c r="A73" s="236" t="s">
        <v>704</v>
      </c>
      <c r="B73" s="175"/>
      <c r="C73" s="247">
        <f>IFERROR(IF('ER1'!H32=Fuel!$G$28,'ER1'!F52,0),0)</f>
        <v>0</v>
      </c>
      <c r="D73" s="247">
        <f>IFERROR(IF('ER1'!H32=Fuel!$G$28,0,'ER1'!F52),0)</f>
        <v>3089.9822890565615</v>
      </c>
      <c r="E73" s="234">
        <f>IF(VLOOKUP('ER1'!D32,Fuel!$C$4:$I$25,7,FALSE),D73,0)</f>
        <v>0</v>
      </c>
      <c r="F73" s="234">
        <f>IF(VLOOKUP('ER1'!D32,Fuel!$C$4:$K$25,8,FALSE),D73,0)</f>
        <v>0</v>
      </c>
      <c r="G73" s="234">
        <f>IF(VLOOKUP('ER1'!D32,Fuel!$C$4:$K$25,9,FALSE),D73,0)</f>
        <v>0</v>
      </c>
      <c r="H73" s="228"/>
      <c r="I73" s="293" t="s">
        <v>750</v>
      </c>
      <c r="J73" s="169">
        <f>IF(OR(I4="Heat Pump",I4="Exhaust Air Heat Pump"),1,0)</f>
        <v>0</v>
      </c>
      <c r="K73" s="750">
        <f>IF(J73,HP!F115,0)</f>
        <v>0</v>
      </c>
      <c r="L73" s="295">
        <f>IF(J73,HP!D115,0)</f>
        <v>0</v>
      </c>
      <c r="M73" s="295">
        <f>IFERROR(IF(J73,L73/(K73/100),0),0)</f>
        <v>0</v>
      </c>
      <c r="N73" s="211">
        <f>IF(I4="Exhaust Air Heat Pump",(L73-M73)*N6,(L73-M73))</f>
        <v>0</v>
      </c>
      <c r="O73" s="174"/>
      <c r="Q73" s="125" t="s">
        <v>1377</v>
      </c>
      <c r="R73" s="296"/>
      <c r="S73" s="296"/>
      <c r="T73" s="296"/>
      <c r="U73" s="673"/>
      <c r="V73" s="540"/>
      <c r="W73" s="673" t="s">
        <v>1378</v>
      </c>
      <c r="X73" s="540"/>
      <c r="Y73" s="556"/>
      <c r="Z73" s="673" t="s">
        <v>1379</v>
      </c>
      <c r="AA73" s="673"/>
      <c r="AB73" s="175" t="s">
        <v>1380</v>
      </c>
      <c r="AC73" s="11"/>
      <c r="AD73" s="539"/>
      <c r="AF73" s="692"/>
      <c r="AG73" s="692"/>
    </row>
    <row r="74" spans="1:34" ht="15.75">
      <c r="A74" s="236" t="s">
        <v>706</v>
      </c>
      <c r="B74" s="175"/>
      <c r="C74" s="247">
        <f>IFERROR(IF('ER1'!H33=Fuel!$G$28,'ER1'!F53,0),0)</f>
        <v>0</v>
      </c>
      <c r="D74" s="247">
        <f>IFERROR(IF('ER1'!H33=Fuel!$G$28,0,'ER1'!F53),0)</f>
        <v>0</v>
      </c>
      <c r="E74" s="234">
        <f>IF(VLOOKUP('ER1'!D33,Fuel!$C$4:$I$25,7,FALSE),D74,0)</f>
        <v>0</v>
      </c>
      <c r="F74" s="234">
        <f>IF(VLOOKUP('ER1'!D33,Fuel!$C$4:$K$25,8,FALSE),D74,0)</f>
        <v>0</v>
      </c>
      <c r="G74" s="234">
        <f>IF(VLOOKUP('ER1'!D33,Fuel!$C$4:$K$25,9,FALSE),D74,0)</f>
        <v>0</v>
      </c>
      <c r="H74" s="228"/>
      <c r="I74" s="293" t="s">
        <v>751</v>
      </c>
      <c r="J74" s="169">
        <f>IF('ER1'!J9&gt;(100),1,0)</f>
        <v>0</v>
      </c>
      <c r="K74" s="750">
        <f>J9</f>
        <v>0</v>
      </c>
      <c r="L74" s="295">
        <f>IF(J74,'ER1'!F53*'ER1'!J9/100,0)</f>
        <v>0</v>
      </c>
      <c r="M74" s="295">
        <f>IF(J74,'ER1'!F53,0)</f>
        <v>0</v>
      </c>
      <c r="N74" s="211">
        <f>L74-M74</f>
        <v>0</v>
      </c>
      <c r="O74" s="174"/>
      <c r="Q74" s="125"/>
      <c r="R74" s="296"/>
      <c r="S74" s="296"/>
      <c r="T74" s="296"/>
      <c r="U74" s="673"/>
      <c r="V74" s="540"/>
      <c r="W74" s="673" t="s">
        <v>1381</v>
      </c>
      <c r="X74" s="540"/>
      <c r="Y74" s="556"/>
      <c r="Z74" s="673" t="s">
        <v>640</v>
      </c>
      <c r="AA74" s="673" t="s">
        <v>830</v>
      </c>
      <c r="AB74" s="175" t="s">
        <v>1382</v>
      </c>
      <c r="AC74" s="11"/>
      <c r="AD74" s="539"/>
      <c r="AF74" s="692"/>
      <c r="AG74" s="692"/>
    </row>
    <row r="75" spans="1:34" ht="15.75">
      <c r="A75" s="236" t="s">
        <v>707</v>
      </c>
      <c r="B75" s="175"/>
      <c r="C75" s="247">
        <f>IFERROR(IF('ER1'!H34=Fuel!$G$28,'ER1'!F54,0),0)</f>
        <v>0</v>
      </c>
      <c r="D75" s="247">
        <f>IFERROR(IF('ER1'!H34=Fuel!$G$28,0,'ER1'!F54),0)</f>
        <v>2725.7507665950402</v>
      </c>
      <c r="E75" s="234">
        <f>IF(VLOOKUP('ER1'!D34,Fuel!$C$4:$I$25,7,FALSE),D75,0)</f>
        <v>0</v>
      </c>
      <c r="F75" s="234">
        <f>IF(VLOOKUP('ER1'!D34,Fuel!$C$4:$K$25,8,FALSE),D75,0)</f>
        <v>0</v>
      </c>
      <c r="G75" s="234">
        <f>IF(VLOOKUP('ER1'!D34,Fuel!$C$4:$K$25,9,FALSE),D75,0)</f>
        <v>0</v>
      </c>
      <c r="H75" s="228"/>
      <c r="I75" s="293" t="s">
        <v>752</v>
      </c>
      <c r="J75" s="169">
        <f>IF(OR(I14="Heat Pump",I14="Exhaust Air Heat Pump"),1,0)</f>
        <v>0</v>
      </c>
      <c r="K75" s="750">
        <f>IF(J75,HP!F116,0)</f>
        <v>0</v>
      </c>
      <c r="L75" s="295">
        <f>IF(J75,HP!D116,0)</f>
        <v>0</v>
      </c>
      <c r="M75" s="295">
        <f>IFERROR(IF(J75,L75/(K75/100),0),0)</f>
        <v>0</v>
      </c>
      <c r="N75" s="211">
        <f>IF(I14="Exhaust Air Heat Pump",(L75-M75)*N16,(L75-M75))</f>
        <v>0</v>
      </c>
      <c r="O75" s="174"/>
      <c r="Q75" s="125" t="s">
        <v>1383</v>
      </c>
      <c r="R75" s="296"/>
      <c r="S75" s="296"/>
      <c r="T75" s="296"/>
      <c r="U75" s="673"/>
      <c r="V75" s="540"/>
      <c r="W75" s="540">
        <f>WH!G78</f>
        <v>0</v>
      </c>
      <c r="X75" s="540"/>
      <c r="Y75" s="556"/>
      <c r="Z75" s="604">
        <f>IF(W75,WH!G81,0)</f>
        <v>0</v>
      </c>
      <c r="AA75" s="674">
        <f>IF(tfa,Z75/tfa,0)</f>
        <v>0</v>
      </c>
      <c r="AB75" s="175">
        <v>1</v>
      </c>
      <c r="AC75" s="11"/>
      <c r="AD75" s="539"/>
      <c r="AF75" s="692"/>
      <c r="AG75" s="692"/>
    </row>
    <row r="76" spans="1:34" ht="15.75">
      <c r="A76" s="236" t="s">
        <v>708</v>
      </c>
      <c r="B76" s="175"/>
      <c r="C76" s="247">
        <f>IFERROR(IF('ER1'!H35=Fuel!$G$28,'ER1'!F55,0),0)</f>
        <v>0</v>
      </c>
      <c r="D76" s="247">
        <f>IFERROR(IF('ER1'!H35=Fuel!$G$28,0,'ER1'!F55),0)</f>
        <v>0</v>
      </c>
      <c r="E76" s="234" t="s">
        <v>2</v>
      </c>
      <c r="F76" s="229"/>
      <c r="G76" s="229"/>
      <c r="H76" s="228"/>
      <c r="I76" s="228"/>
      <c r="J76" s="229"/>
      <c r="K76" s="230"/>
      <c r="L76" s="477"/>
      <c r="M76" s="231"/>
      <c r="N76" s="232"/>
      <c r="O76" s="174"/>
      <c r="Q76" s="125" t="s">
        <v>1384</v>
      </c>
      <c r="R76" s="296"/>
      <c r="S76" s="296"/>
      <c r="T76" s="296"/>
      <c r="U76" s="673"/>
      <c r="V76" s="540"/>
      <c r="W76" s="673">
        <f>IF(AND('ER1'!I32=Fuel!$H$18,'ER1'!J7&gt;250),1,0)</f>
        <v>0</v>
      </c>
      <c r="X76" s="540"/>
      <c r="Y76" s="12"/>
      <c r="Z76" s="604">
        <f>IF(W76,('ER1'!J7/100-2.5)*'ER1'!J10,0)</f>
        <v>0</v>
      </c>
      <c r="AA76" s="674">
        <f t="shared" ref="AA76:AA86" si="3">IF(tfa,Z76/tfa,0)</f>
        <v>0</v>
      </c>
      <c r="AB76" s="175">
        <v>1</v>
      </c>
      <c r="AC76" s="11"/>
      <c r="AD76" s="539"/>
      <c r="AF76" s="692"/>
      <c r="AG76" s="692"/>
    </row>
    <row r="77" spans="1:34" ht="15.75">
      <c r="A77" s="236" t="s">
        <v>709</v>
      </c>
      <c r="B77" s="175"/>
      <c r="C77" s="247">
        <f>IF('ER1'!H36=Fuel!$G$28,'ER1'!F56,0)</f>
        <v>97</v>
      </c>
      <c r="D77" s="247">
        <f>IF('ER1'!H36=Fuel!$G$28,0,'ER1'!F56)</f>
        <v>0</v>
      </c>
      <c r="E77" s="234" t="s">
        <v>2</v>
      </c>
      <c r="F77" s="229"/>
      <c r="G77" s="229"/>
      <c r="H77" s="229"/>
      <c r="I77" s="233" t="s">
        <v>753</v>
      </c>
      <c r="J77" s="228"/>
      <c r="K77" s="228"/>
      <c r="L77" s="233" t="s">
        <v>753</v>
      </c>
      <c r="M77" s="228"/>
      <c r="N77" s="232"/>
      <c r="O77" s="174"/>
      <c r="Q77" s="125" t="s">
        <v>1385</v>
      </c>
      <c r="R77" s="296"/>
      <c r="S77" s="296"/>
      <c r="T77" s="296"/>
      <c r="U77" s="673"/>
      <c r="V77" s="540"/>
      <c r="W77" s="673">
        <f>IF(AND('ER1'!I33=Fuel!$H$18,'ER1'!J9&gt;250),1,0)</f>
        <v>0</v>
      </c>
      <c r="X77" s="540"/>
      <c r="Y77" s="12"/>
      <c r="Z77" s="604">
        <f>IF(W77,('ER1'!J9/100-2.5)*'ER1'!J11,0)</f>
        <v>0</v>
      </c>
      <c r="AA77" s="674">
        <f t="shared" si="3"/>
        <v>0</v>
      </c>
      <c r="AB77" s="175">
        <v>1</v>
      </c>
      <c r="AC77" s="11"/>
      <c r="AD77" s="539"/>
      <c r="AF77" s="692"/>
      <c r="AG77" s="692"/>
    </row>
    <row r="78" spans="1:34" ht="15.75">
      <c r="A78" s="236" t="s">
        <v>710</v>
      </c>
      <c r="B78" s="175"/>
      <c r="C78" s="247">
        <f>IF('ER1'!H37=Fuel!$G$28,'ER1'!F57,0)</f>
        <v>246.51445106940128</v>
      </c>
      <c r="D78" s="247">
        <f>IF('ER1'!H37=Fuel!$G$28,0,'ER1'!F57)</f>
        <v>0</v>
      </c>
      <c r="E78" s="234" t="s">
        <v>2</v>
      </c>
      <c r="F78" s="229"/>
      <c r="G78" s="229"/>
      <c r="H78" s="228"/>
      <c r="I78" s="228" t="s">
        <v>754</v>
      </c>
      <c r="J78" s="248">
        <f>SUM(F60)</f>
        <v>886</v>
      </c>
      <c r="K78" s="230"/>
      <c r="L78" s="228" t="s">
        <v>688</v>
      </c>
      <c r="M78" s="248">
        <f>SUM(N46)</f>
        <v>0</v>
      </c>
      <c r="N78" s="232"/>
      <c r="O78" s="174"/>
      <c r="Q78" s="125" t="s">
        <v>1386</v>
      </c>
      <c r="R78" s="296"/>
      <c r="S78" s="296"/>
      <c r="T78" s="296"/>
      <c r="U78" s="673"/>
      <c r="V78" s="540"/>
      <c r="W78" s="673">
        <f>IF(AND('ER1'!I34=Fuel!$H$18,'ER1'!J16&gt;250),1,0)</f>
        <v>0</v>
      </c>
      <c r="X78" s="540"/>
      <c r="Y78" s="12"/>
      <c r="Z78" s="604">
        <f>IF(W78,('ER1'!J16/100-2.5)*'ER1'!J17,0)</f>
        <v>0</v>
      </c>
      <c r="AA78" s="674">
        <f t="shared" si="3"/>
        <v>0</v>
      </c>
      <c r="AB78" s="175">
        <v>1</v>
      </c>
      <c r="AC78" s="11"/>
      <c r="AD78" s="539"/>
      <c r="AF78" s="692"/>
      <c r="AG78" s="692"/>
    </row>
    <row r="79" spans="1:34" ht="15.75">
      <c r="A79" s="236" t="s">
        <v>755</v>
      </c>
      <c r="B79" s="175"/>
      <c r="C79" s="247"/>
      <c r="D79" s="247">
        <f>'ER1'!F58</f>
        <v>0</v>
      </c>
      <c r="E79" s="234">
        <f>IF(VLOOKUP('ER1'!L42,Fuel!$C$4:$I$25,7,FALSE),D79,0)</f>
        <v>0</v>
      </c>
      <c r="F79" s="234">
        <f>IF(VLOOKUP('ER1'!L42,Fuel!$C$4:$K$25,8,FALSE),D79,0)</f>
        <v>0</v>
      </c>
      <c r="G79" s="234">
        <f>IF(VLOOKUP('ER1'!L42,Fuel!$C$4:$K$25,9,FALSE),D79,0)</f>
        <v>0</v>
      </c>
      <c r="H79" s="228"/>
      <c r="I79" s="228"/>
      <c r="J79" s="229"/>
      <c r="K79" s="230"/>
      <c r="L79" s="477"/>
      <c r="M79" s="231"/>
      <c r="N79" s="232"/>
      <c r="O79" s="174"/>
      <c r="Q79" s="541" t="s">
        <v>1387</v>
      </c>
      <c r="R79" s="296"/>
      <c r="S79" s="296"/>
      <c r="T79" s="296"/>
      <c r="U79" s="673"/>
      <c r="V79" s="540"/>
      <c r="W79" s="540">
        <f>VLOOKUP(D32,Fuel!$C$4:$I$25,7,FALSE)</f>
        <v>0</v>
      </c>
      <c r="X79" s="540"/>
      <c r="Y79" s="556"/>
      <c r="Z79" s="604">
        <f>IF(W79,'ER1'!J10*('ER1'!J7/100),0)</f>
        <v>0</v>
      </c>
      <c r="AA79" s="674">
        <f t="shared" si="3"/>
        <v>0</v>
      </c>
      <c r="AB79" s="175">
        <v>1</v>
      </c>
      <c r="AC79" s="11"/>
      <c r="AD79" s="539"/>
      <c r="AF79" s="692"/>
      <c r="AG79" s="692"/>
    </row>
    <row r="80" spans="1:34" ht="15.75">
      <c r="A80" s="226"/>
      <c r="B80" s="175"/>
      <c r="C80" s="229"/>
      <c r="D80" s="229"/>
      <c r="E80" s="229"/>
      <c r="F80" s="229"/>
      <c r="G80" s="229"/>
      <c r="H80" s="228"/>
      <c r="I80" s="233" t="s">
        <v>756</v>
      </c>
      <c r="J80" s="228"/>
      <c r="K80" s="230"/>
      <c r="L80" s="258" t="s">
        <v>757</v>
      </c>
      <c r="M80" s="231"/>
      <c r="N80" s="232"/>
      <c r="O80" s="174"/>
      <c r="Q80" s="541" t="s">
        <v>1388</v>
      </c>
      <c r="R80" s="296"/>
      <c r="S80" s="296"/>
      <c r="T80" s="296"/>
      <c r="U80" s="673"/>
      <c r="V80" s="540"/>
      <c r="W80" s="540">
        <f>VLOOKUP(D33,Fuel!$C$4:$I$25,7,FALSE)</f>
        <v>0</v>
      </c>
      <c r="X80" s="540"/>
      <c r="Y80" s="556"/>
      <c r="Z80" s="604">
        <f>IF(W80,'ER1'!J11*('ER1'!J9/100),0)</f>
        <v>0</v>
      </c>
      <c r="AA80" s="674">
        <f t="shared" si="3"/>
        <v>0</v>
      </c>
      <c r="AB80" s="175">
        <v>1</v>
      </c>
      <c r="AC80" s="11"/>
      <c r="AD80" s="539"/>
      <c r="AF80" s="692"/>
      <c r="AG80" s="692"/>
    </row>
    <row r="81" spans="1:30" ht="15.75">
      <c r="A81" s="237" t="s">
        <v>758</v>
      </c>
      <c r="B81" s="552"/>
      <c r="C81" s="238">
        <f>SUM(C73:C78)</f>
        <v>343.51445106940128</v>
      </c>
      <c r="D81" s="238">
        <f>SUM(D73:D79)</f>
        <v>5815.7330556516017</v>
      </c>
      <c r="E81" s="238">
        <f>SUM(E73:E79)</f>
        <v>0</v>
      </c>
      <c r="F81" s="238">
        <f t="shared" ref="F81:G81" si="4">SUM(F73:F79)</f>
        <v>0</v>
      </c>
      <c r="G81" s="238">
        <f t="shared" si="4"/>
        <v>0</v>
      </c>
      <c r="H81" s="239"/>
      <c r="I81" s="239" t="s">
        <v>96</v>
      </c>
      <c r="J81" s="250">
        <f>G61+G63+G65-G62-G64-G66</f>
        <v>0</v>
      </c>
      <c r="K81" s="241"/>
      <c r="L81" s="242">
        <f>IF(N39&gt;0, (N39*((1.1/0.9)+((N40*Fuel!G28)/(N41))-(1.1/N41))),0)</f>
        <v>0</v>
      </c>
      <c r="M81" s="243"/>
      <c r="N81" s="244"/>
      <c r="Q81" s="541" t="s">
        <v>1389</v>
      </c>
      <c r="R81" s="296"/>
      <c r="S81" s="296"/>
      <c r="T81" s="296"/>
      <c r="U81" s="673"/>
      <c r="V81" s="540"/>
      <c r="W81" s="540">
        <f>VLOOKUP(D34,Fuel!$C$4:$I$25,7,FALSE)</f>
        <v>0</v>
      </c>
      <c r="X81" s="540"/>
      <c r="Y81" s="556"/>
      <c r="Z81" s="604">
        <f>IF(W81,'ER1'!J17*('ER1'!J16/100),0)</f>
        <v>0</v>
      </c>
      <c r="AA81" s="674">
        <f t="shared" si="3"/>
        <v>0</v>
      </c>
      <c r="AB81" s="175">
        <v>1</v>
      </c>
      <c r="AC81" s="11"/>
      <c r="AD81" s="539"/>
    </row>
    <row r="82" spans="1:30">
      <c r="Q82" s="125" t="s">
        <v>766</v>
      </c>
      <c r="R82" s="296"/>
      <c r="S82" s="296"/>
      <c r="T82" s="296"/>
      <c r="U82" s="673"/>
      <c r="V82" s="540"/>
      <c r="W82" s="673">
        <f>IF(N39&gt;0,1,0)</f>
        <v>0</v>
      </c>
      <c r="X82" s="540"/>
      <c r="Y82" s="556"/>
      <c r="Z82" s="450">
        <f>IF(F115&gt;0,F115,0)</f>
        <v>0</v>
      </c>
      <c r="AA82" s="674">
        <f t="shared" si="3"/>
        <v>0</v>
      </c>
      <c r="AB82" s="296">
        <v>1</v>
      </c>
      <c r="AC82" s="11"/>
      <c r="AD82" s="539"/>
    </row>
    <row r="83" spans="1:30" ht="38.25">
      <c r="A83" s="13" t="s">
        <v>759</v>
      </c>
      <c r="B83" s="174"/>
      <c r="C83" s="174"/>
      <c r="D83" s="174"/>
      <c r="E83" s="174"/>
      <c r="F83" s="174"/>
      <c r="G83" s="174"/>
      <c r="H83" s="174"/>
      <c r="I83" s="174"/>
      <c r="J83" s="174"/>
      <c r="K83" s="174"/>
      <c r="L83" s="174"/>
      <c r="M83" s="174"/>
      <c r="N83" s="174"/>
      <c r="Q83" s="125" t="s">
        <v>983</v>
      </c>
      <c r="R83" s="296"/>
      <c r="S83" s="296"/>
      <c r="T83" s="296"/>
      <c r="U83" s="673"/>
      <c r="V83" s="540"/>
      <c r="W83" s="673" t="s">
        <v>319</v>
      </c>
      <c r="X83" s="540"/>
      <c r="Y83" s="556"/>
      <c r="Z83" s="675" t="s">
        <v>984</v>
      </c>
      <c r="AA83" s="673"/>
      <c r="AB83" s="175"/>
      <c r="AC83" s="11"/>
      <c r="AD83" s="539"/>
    </row>
    <row r="84" spans="1:30">
      <c r="A84" s="13" t="s">
        <v>760</v>
      </c>
      <c r="B84" s="174"/>
      <c r="C84" s="174"/>
      <c r="D84" s="174"/>
      <c r="E84" s="174"/>
      <c r="F84" s="174"/>
      <c r="G84" s="174"/>
      <c r="H84" s="174"/>
      <c r="I84" s="174"/>
      <c r="J84" s="174"/>
      <c r="K84" s="174"/>
      <c r="L84" s="174"/>
      <c r="M84" s="174"/>
      <c r="N84" s="174"/>
      <c r="Q84" s="236" t="s">
        <v>713</v>
      </c>
      <c r="R84" s="296" t="str">
        <f>IF(ISBLANK(T40),"-",T40)</f>
        <v>-</v>
      </c>
      <c r="S84" s="296"/>
      <c r="T84" s="296"/>
      <c r="U84" s="673"/>
      <c r="V84" s="540"/>
      <c r="W84" s="852" t="s">
        <v>762</v>
      </c>
      <c r="X84" s="853"/>
      <c r="Y84" s="676"/>
      <c r="Z84" s="677"/>
      <c r="AA84" s="674">
        <f>IF(tfa,Z84/tfa,0)</f>
        <v>0</v>
      </c>
      <c r="AB84" s="678">
        <f>VLOOKUP(W84,'ER1'!$A$108:$C$110,3,FALSE)</f>
        <v>0</v>
      </c>
      <c r="AC84" s="11"/>
      <c r="AD84" s="539"/>
    </row>
    <row r="85" spans="1:30">
      <c r="A85" s="13" t="str">
        <f>Fuel!C23</f>
        <v>-</v>
      </c>
      <c r="B85" s="174"/>
      <c r="C85" s="174"/>
      <c r="D85" s="174"/>
      <c r="E85" s="174"/>
      <c r="F85" s="174"/>
      <c r="G85" s="174"/>
      <c r="H85" s="174"/>
      <c r="I85" s="174"/>
      <c r="J85" s="174"/>
      <c r="K85" s="174"/>
      <c r="L85" s="174"/>
      <c r="M85" s="174"/>
      <c r="N85" s="174"/>
      <c r="Q85" s="236" t="s">
        <v>719</v>
      </c>
      <c r="R85" s="296" t="str">
        <f>IF(ISBLANK(T43),"-",T43)</f>
        <v>-</v>
      </c>
      <c r="S85" s="296"/>
      <c r="T85" s="296"/>
      <c r="U85" s="673"/>
      <c r="V85" s="540"/>
      <c r="W85" s="852" t="s">
        <v>762</v>
      </c>
      <c r="X85" s="853"/>
      <c r="Y85" s="540"/>
      <c r="Z85" s="677"/>
      <c r="AA85" s="674">
        <f t="shared" si="3"/>
        <v>0</v>
      </c>
      <c r="AB85" s="678">
        <f>VLOOKUP(W85,'ER1'!$A$108:$C$110,3,FALSE)</f>
        <v>0</v>
      </c>
      <c r="AC85" s="11"/>
      <c r="AD85" s="539"/>
    </row>
    <row r="86" spans="1:30">
      <c r="A86" s="174" t="str">
        <f>Fuel!C4</f>
        <v>mains gas</v>
      </c>
      <c r="B86" s="174"/>
      <c r="C86" s="174"/>
      <c r="D86" s="174"/>
      <c r="E86" s="174"/>
      <c r="F86" s="174"/>
      <c r="G86" s="174"/>
      <c r="H86" s="174"/>
      <c r="I86" s="174"/>
      <c r="J86" s="174"/>
      <c r="K86" s="174"/>
      <c r="L86" s="174"/>
      <c r="M86" s="174"/>
      <c r="N86" s="174"/>
      <c r="Q86" s="236" t="s">
        <v>723</v>
      </c>
      <c r="R86" s="296" t="str">
        <f>IF(ISBLANK(T46),"-",T46)</f>
        <v>-</v>
      </c>
      <c r="S86" s="296"/>
      <c r="T86" s="296"/>
      <c r="U86" s="673"/>
      <c r="V86" s="540"/>
      <c r="W86" s="852" t="s">
        <v>762</v>
      </c>
      <c r="X86" s="853"/>
      <c r="Y86" s="540"/>
      <c r="Z86" s="677"/>
      <c r="AA86" s="674">
        <f t="shared" si="3"/>
        <v>0</v>
      </c>
      <c r="AB86" s="678">
        <f>VLOOKUP(W86,'ER1'!$A$108:$C$110,3,FALSE)</f>
        <v>0</v>
      </c>
      <c r="AC86" s="11"/>
      <c r="AD86" s="539"/>
    </row>
    <row r="87" spans="1:30">
      <c r="A87" s="174" t="str">
        <f>Fuel!C5</f>
        <v>bulk LPG (propane or butane)</v>
      </c>
      <c r="B87" s="174"/>
      <c r="C87" s="174"/>
      <c r="D87" s="174"/>
      <c r="E87" s="174"/>
      <c r="F87" s="174"/>
      <c r="G87" s="174"/>
      <c r="H87" s="174"/>
      <c r="I87" s="174"/>
      <c r="J87" s="174"/>
      <c r="K87" s="174"/>
      <c r="L87" s="174"/>
      <c r="M87" s="174"/>
      <c r="N87" s="174"/>
      <c r="Q87" s="249"/>
      <c r="R87" s="11"/>
      <c r="S87" s="11"/>
      <c r="T87" s="11"/>
      <c r="U87" s="11"/>
      <c r="V87" s="11"/>
      <c r="W87" s="11"/>
      <c r="X87" s="11"/>
      <c r="Y87" s="11"/>
      <c r="Z87" s="11"/>
      <c r="AA87" s="679"/>
      <c r="AB87" s="175"/>
      <c r="AC87" s="11"/>
      <c r="AD87" s="539"/>
    </row>
    <row r="88" spans="1:30">
      <c r="A88" s="174" t="str">
        <f>Fuel!C6</f>
        <v>bottled LPG</v>
      </c>
      <c r="B88" s="174"/>
      <c r="C88" s="174"/>
      <c r="D88" s="174"/>
      <c r="E88" s="174"/>
      <c r="F88" s="174"/>
      <c r="G88" s="174"/>
      <c r="H88" s="174"/>
      <c r="I88" s="174"/>
      <c r="J88" s="174"/>
      <c r="K88" s="174"/>
      <c r="L88" s="174"/>
      <c r="M88" s="174"/>
      <c r="N88" s="174"/>
      <c r="Q88" s="249"/>
      <c r="R88" s="673" t="s">
        <v>1390</v>
      </c>
      <c r="S88" s="296"/>
      <c r="T88" s="296"/>
      <c r="U88" s="540"/>
      <c r="V88" s="540"/>
      <c r="W88" s="673"/>
      <c r="X88" s="540"/>
      <c r="Y88" s="540"/>
      <c r="Z88" s="673"/>
      <c r="AA88" s="680">
        <f>SUMIF(AB75:AB86,1,AA75:AA86)</f>
        <v>0</v>
      </c>
      <c r="AB88" s="175"/>
      <c r="AC88" s="175"/>
      <c r="AD88" s="539"/>
    </row>
    <row r="89" spans="1:30">
      <c r="A89" s="174" t="str">
        <f>Fuel!C7</f>
        <v>heating oil</v>
      </c>
      <c r="B89" s="174"/>
      <c r="C89" s="174"/>
      <c r="D89" s="174"/>
      <c r="E89" s="174"/>
      <c r="F89" s="174"/>
      <c r="G89" s="174"/>
      <c r="H89" s="174"/>
      <c r="I89" s="174"/>
      <c r="J89" s="174"/>
      <c r="K89" s="174"/>
      <c r="L89" s="174"/>
      <c r="M89" s="174"/>
      <c r="N89" s="174"/>
      <c r="Q89" s="249"/>
      <c r="R89" s="673" t="s">
        <v>1391</v>
      </c>
      <c r="S89" s="296"/>
      <c r="T89" s="296"/>
      <c r="U89" s="540"/>
      <c r="V89" s="673"/>
      <c r="W89" s="673"/>
      <c r="X89" s="673"/>
      <c r="Y89" s="175"/>
      <c r="Z89" s="175"/>
      <c r="AA89" s="679">
        <f>SUMIF(AB75:AB86,2,AA75:AA86)</f>
        <v>0</v>
      </c>
      <c r="AB89" s="175"/>
      <c r="AC89" s="175"/>
      <c r="AD89" s="539"/>
    </row>
    <row r="90" spans="1:30">
      <c r="A90" s="174" t="str">
        <f>Fuel!C8</f>
        <v>house coal</v>
      </c>
      <c r="B90" s="174"/>
      <c r="C90" s="174"/>
      <c r="D90" s="174"/>
      <c r="E90" s="174"/>
      <c r="F90" s="174"/>
      <c r="G90" s="174"/>
      <c r="H90" s="174"/>
      <c r="I90" s="174"/>
      <c r="J90" s="174"/>
      <c r="K90" s="174"/>
      <c r="L90" s="174"/>
      <c r="M90" s="174"/>
      <c r="N90" s="174"/>
      <c r="Q90" s="249"/>
      <c r="R90" s="673" t="s">
        <v>1392</v>
      </c>
      <c r="S90" s="296"/>
      <c r="T90" s="296"/>
      <c r="U90" s="540"/>
      <c r="V90" s="673"/>
      <c r="W90" s="673"/>
      <c r="X90" s="673"/>
      <c r="Y90" s="175"/>
      <c r="Z90" s="175"/>
      <c r="AA90" s="681">
        <f>AA88+AA89*2.5</f>
        <v>0</v>
      </c>
      <c r="AB90" s="175"/>
      <c r="AC90" s="175"/>
      <c r="AD90" s="539"/>
    </row>
    <row r="91" spans="1:30">
      <c r="A91" s="174" t="str">
        <f>Fuel!C9</f>
        <v>anthracite</v>
      </c>
      <c r="B91" s="174"/>
      <c r="C91" s="174"/>
      <c r="D91" s="174"/>
      <c r="E91" s="174"/>
      <c r="F91" s="174"/>
      <c r="G91" s="174"/>
      <c r="H91" s="174"/>
      <c r="I91" s="174"/>
      <c r="J91" s="174"/>
      <c r="K91" s="174"/>
      <c r="L91" s="174"/>
      <c r="M91" s="174"/>
      <c r="N91" s="174"/>
      <c r="Q91" s="125"/>
      <c r="R91" s="673" t="s">
        <v>1393</v>
      </c>
      <c r="S91" s="296"/>
      <c r="T91" s="296"/>
      <c r="U91" s="673"/>
      <c r="V91" s="673"/>
      <c r="W91" s="673"/>
      <c r="X91" s="673"/>
      <c r="Y91" s="175"/>
      <c r="Z91" s="175"/>
      <c r="AA91" s="548" t="str">
        <f>IF(AA90&gt;=10,"Complies","Does not comply")</f>
        <v>Does not comply</v>
      </c>
      <c r="AB91" s="11"/>
      <c r="AC91" s="11"/>
      <c r="AD91" s="539"/>
    </row>
    <row r="92" spans="1:30">
      <c r="A92" s="174" t="str">
        <f>Fuel!C10</f>
        <v>manufactured smokeless fuel</v>
      </c>
      <c r="B92" s="174"/>
      <c r="C92" s="174"/>
      <c r="D92" s="174"/>
      <c r="E92" s="174"/>
      <c r="F92" s="174"/>
      <c r="G92" s="174"/>
      <c r="H92" s="174"/>
      <c r="I92" s="174"/>
      <c r="J92" s="174"/>
      <c r="K92" s="174"/>
      <c r="L92" s="174"/>
      <c r="M92" s="174"/>
      <c r="N92" s="174"/>
      <c r="Q92" s="125"/>
      <c r="R92" s="11"/>
      <c r="S92" s="11"/>
      <c r="T92" s="11"/>
      <c r="U92" s="11"/>
      <c r="V92" s="11"/>
      <c r="W92" s="11"/>
      <c r="X92" s="11"/>
      <c r="Y92" s="11"/>
      <c r="Z92" s="11"/>
      <c r="AA92" s="11"/>
      <c r="AB92" s="11"/>
      <c r="AC92" s="11"/>
      <c r="AD92" s="682"/>
    </row>
    <row r="93" spans="1:30">
      <c r="A93" s="174" t="str">
        <f>Fuel!C11</f>
        <v>peat briquettes</v>
      </c>
      <c r="B93" s="174"/>
      <c r="C93" s="174"/>
      <c r="D93" s="174"/>
      <c r="E93" s="174"/>
      <c r="F93" s="174"/>
      <c r="G93" s="174"/>
      <c r="H93" s="174"/>
      <c r="I93" s="174"/>
      <c r="J93" s="174"/>
      <c r="K93" s="174"/>
      <c r="L93" s="174"/>
      <c r="M93" s="174"/>
      <c r="N93" s="174"/>
      <c r="Q93" s="683"/>
      <c r="R93" s="684"/>
      <c r="S93" s="684"/>
      <c r="T93" s="684"/>
      <c r="U93" s="684"/>
      <c r="V93" s="684"/>
      <c r="W93" s="684"/>
      <c r="X93" s="684"/>
      <c r="Y93" s="684"/>
      <c r="Z93" s="684"/>
      <c r="AA93" s="684"/>
      <c r="AB93" s="684"/>
      <c r="AC93" s="684"/>
      <c r="AD93" s="685"/>
    </row>
    <row r="94" spans="1:30">
      <c r="A94" s="174" t="str">
        <f>Fuel!C12</f>
        <v>sod peat</v>
      </c>
      <c r="B94" s="174"/>
      <c r="C94" s="174"/>
      <c r="D94" s="174"/>
      <c r="E94" s="174"/>
      <c r="F94" s="174"/>
      <c r="G94" s="174"/>
      <c r="H94" s="174"/>
      <c r="I94" s="174"/>
      <c r="J94" s="174"/>
      <c r="K94" s="174"/>
      <c r="L94" s="174"/>
      <c r="M94" s="174"/>
      <c r="N94" s="174"/>
    </row>
    <row r="95" spans="1:30">
      <c r="A95" s="174" t="str">
        <f>Fuel!C13</f>
        <v>wood logs</v>
      </c>
      <c r="B95" s="174"/>
      <c r="C95" s="174"/>
      <c r="D95" s="174"/>
      <c r="E95" s="174"/>
      <c r="F95" s="174"/>
      <c r="G95" s="174"/>
      <c r="H95" s="174"/>
      <c r="I95" s="174"/>
      <c r="J95" s="174"/>
      <c r="K95" s="174"/>
      <c r="L95" s="174"/>
      <c r="M95" s="174"/>
      <c r="N95" s="174"/>
    </row>
    <row r="96" spans="1:30">
      <c r="A96" s="174" t="str">
        <f>Fuel!C14</f>
        <v>wood pellets - in bags, for sec. htg</v>
      </c>
      <c r="B96" s="174"/>
      <c r="C96" s="174"/>
      <c r="D96" s="174"/>
      <c r="E96" s="174"/>
      <c r="F96" s="174"/>
      <c r="G96" s="174"/>
      <c r="H96" s="174"/>
      <c r="I96" s="174"/>
      <c r="J96" s="174"/>
      <c r="K96" s="174"/>
      <c r="L96" s="174"/>
      <c r="M96" s="174"/>
      <c r="N96" s="174"/>
    </row>
    <row r="97" spans="1:3">
      <c r="A97" s="174" t="str">
        <f>Fuel!C15</f>
        <v>wood pellets - bulk supply, for main htg</v>
      </c>
      <c r="B97" s="174"/>
      <c r="C97" s="174"/>
    </row>
    <row r="98" spans="1:3">
      <c r="A98" s="174" t="str">
        <f>Fuel!C16</f>
        <v>wood chips</v>
      </c>
      <c r="B98" s="174"/>
      <c r="C98" s="174"/>
    </row>
    <row r="99" spans="1:3">
      <c r="A99" s="174" t="str">
        <f>Fuel!C17</f>
        <v>solid multi-fuel</v>
      </c>
      <c r="B99" s="174"/>
      <c r="C99" s="174"/>
    </row>
    <row r="100" spans="1:3">
      <c r="A100" s="174" t="str">
        <f>Fuel!C18</f>
        <v>electricity</v>
      </c>
      <c r="B100" s="174"/>
      <c r="C100" s="174"/>
    </row>
    <row r="101" spans="1:3">
      <c r="A101" s="174" t="str">
        <f>Fuel!C24</f>
        <v>Biodiesel from renewable sources only</v>
      </c>
      <c r="B101" s="174"/>
      <c r="C101" s="174"/>
    </row>
    <row r="102" spans="1:3">
      <c r="A102" s="174" t="str">
        <f>Fuel!C25</f>
        <v>Bioethanol from renewable sources only</v>
      </c>
      <c r="B102" s="174"/>
      <c r="C102" s="174"/>
    </row>
    <row r="103" spans="1:3">
      <c r="A103" s="25" t="s">
        <v>187</v>
      </c>
      <c r="B103" s="174"/>
      <c r="C103" s="174"/>
    </row>
    <row r="104" spans="1:3">
      <c r="A104" s="174" t="s">
        <v>98</v>
      </c>
      <c r="B104" s="174">
        <v>1</v>
      </c>
      <c r="C104" s="174"/>
    </row>
    <row r="105" spans="1:3">
      <c r="A105" s="174" t="s">
        <v>99</v>
      </c>
      <c r="B105" s="174">
        <v>0</v>
      </c>
      <c r="C105" s="174"/>
    </row>
    <row r="107" spans="1:3">
      <c r="A107" s="25" t="s">
        <v>761</v>
      </c>
      <c r="B107" s="174"/>
      <c r="C107" s="174"/>
    </row>
    <row r="108" spans="1:3">
      <c r="A108" s="174" t="s">
        <v>762</v>
      </c>
      <c r="B108" s="174"/>
      <c r="C108" s="174">
        <v>0</v>
      </c>
    </row>
    <row r="109" spans="1:3">
      <c r="A109" s="174" t="s">
        <v>763</v>
      </c>
      <c r="B109" s="174"/>
      <c r="C109" s="174">
        <v>1</v>
      </c>
    </row>
    <row r="110" spans="1:3">
      <c r="A110" s="174" t="s">
        <v>764</v>
      </c>
      <c r="B110" s="174"/>
      <c r="C110" s="174">
        <v>2</v>
      </c>
    </row>
    <row r="113" spans="1:6">
      <c r="A113" s="25" t="s">
        <v>688</v>
      </c>
      <c r="B113" s="174"/>
      <c r="C113" s="174"/>
      <c r="D113" s="174"/>
      <c r="E113" s="174"/>
      <c r="F113" s="174"/>
    </row>
    <row r="114" spans="1:6">
      <c r="A114" s="174" t="s">
        <v>765</v>
      </c>
      <c r="B114" s="174"/>
      <c r="C114" s="174"/>
      <c r="D114" s="174"/>
      <c r="E114" s="174"/>
      <c r="F114" s="174">
        <f>(1-J8)*ShReqt</f>
        <v>2821.1538299086405</v>
      </c>
    </row>
    <row r="115" spans="1:6">
      <c r="A115" s="112" t="s">
        <v>766</v>
      </c>
      <c r="B115" s="174"/>
      <c r="C115" s="174"/>
      <c r="D115" s="174"/>
      <c r="E115" s="174"/>
      <c r="F115" s="174">
        <f>IF(N41&gt;0, (N39*((1/0.9)+(N40/(N41*0.4))-(1/N41))),0)</f>
        <v>0</v>
      </c>
    </row>
  </sheetData>
  <sheetProtection algorithmName="SHA-512" hashValue="d58Wjz1coakS4by/3cMh23NN2F7FsKZ2Vo5N5TTlPUVj3NIs49WaV2qPu1YJlgP0Qxn29PpaCfA8jArlR9MUiw==" saltValue="vLY064JwWXWmQmwFaYvBxw==" spinCount="100000" sheet="1" objects="1" scenarios="1"/>
  <mergeCells count="10">
    <mergeCell ref="W85:X85"/>
    <mergeCell ref="W86:X86"/>
    <mergeCell ref="L42:O42"/>
    <mergeCell ref="D42:G42"/>
    <mergeCell ref="D45:G45"/>
    <mergeCell ref="D32:G32"/>
    <mergeCell ref="D33:G33"/>
    <mergeCell ref="D34:G34"/>
    <mergeCell ref="D39:G39"/>
    <mergeCell ref="W84:X84"/>
  </mergeCells>
  <phoneticPr fontId="0" type="noConversion"/>
  <conditionalFormatting sqref="J4">
    <cfRule type="expression" dxfId="52" priority="2">
      <formula>OR($I$4="Heat Pump",$I$4="Exhaust Air Heat Pump")</formula>
    </cfRule>
  </conditionalFormatting>
  <conditionalFormatting sqref="J14">
    <cfRule type="expression" dxfId="51" priority="1">
      <formula>OR($I$14="Heat Pump",$I$14="Exhaust Air Heat Pump")</formula>
    </cfRule>
  </conditionalFormatting>
  <dataValidations count="3">
    <dataValidation type="list" allowBlank="1" showInputMessage="1" showErrorMessage="1" errorTitle="DEAP" error="Please select item from drop-down list." sqref="D32:G34" xr:uid="{00000000-0002-0000-0B00-000000000000}">
      <formula1>$A$85:$A$102</formula1>
    </dataValidation>
    <dataValidation type="list" allowBlank="1" showInputMessage="1" showErrorMessage="1" sqref="I4 I14" xr:uid="{8AB1D345-DFC3-4016-B59F-C729CD2A8135}">
      <formula1>"Heat Pump, Exhaust Air Heat Pump, Central Boiler, Electric Heaters, Warm Air System, Room Heaters, Other"</formula1>
    </dataValidation>
    <dataValidation type="list" allowBlank="1" showErrorMessage="1" sqref="W84:X86" xr:uid="{672B08C2-BE5A-404D-8D15-06A179C2DEDD}">
      <formula1>$A$108:$A$110</formula1>
    </dataValidation>
  </dataValidations>
  <pageMargins left="0.51" right="0.59" top="1" bottom="1" header="0.5" footer="0.5"/>
  <pageSetup paperSize="9" scale="77"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DEAP" error="Please select item from drop-down list." xr:uid="{00000000-0002-0000-0B00-000002000000}">
          <x14:formula1>
            <xm:f>'ER2'!A117:A134</xm:f>
          </x14:formula1>
          <xm:sqref>L42:O42</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D151"/>
  <sheetViews>
    <sheetView topLeftCell="A67" zoomScaleNormal="100" workbookViewId="0">
      <selection activeCell="I117" sqref="I117"/>
    </sheetView>
  </sheetViews>
  <sheetFormatPr defaultColWidth="9.140625" defaultRowHeight="12.75"/>
  <cols>
    <col min="1" max="1" width="12.42578125" style="14" customWidth="1"/>
    <col min="2" max="2" width="16.85546875" style="14" customWidth="1"/>
    <col min="3" max="5" width="9.140625" style="14"/>
    <col min="6" max="6" width="14" style="14" customWidth="1"/>
    <col min="7" max="7" width="9.140625" style="14"/>
    <col min="8" max="8" width="9.7109375" style="14" customWidth="1"/>
    <col min="9" max="9" width="15" style="14" customWidth="1"/>
    <col min="10" max="10" width="13" style="14" customWidth="1"/>
    <col min="11" max="11" width="12" style="14" customWidth="1"/>
    <col min="12" max="12" width="13.85546875" style="14" bestFit="1" customWidth="1"/>
    <col min="13" max="13" width="10.140625" style="14" bestFit="1" customWidth="1"/>
    <col min="14" max="14" width="14" style="14" customWidth="1"/>
    <col min="15" max="16384" width="9.140625" style="14"/>
  </cols>
  <sheetData>
    <row r="1" spans="1:17" s="65" customFormat="1" ht="18" customHeight="1">
      <c r="A1" s="23" t="s">
        <v>767</v>
      </c>
      <c r="B1" s="26"/>
      <c r="C1" s="500"/>
      <c r="D1" s="500"/>
      <c r="E1" s="500"/>
      <c r="F1" s="27"/>
      <c r="G1" s="27"/>
      <c r="H1" s="500"/>
      <c r="I1" s="500"/>
      <c r="J1" s="500"/>
      <c r="K1" s="500"/>
      <c r="L1" s="500"/>
      <c r="M1" s="500"/>
      <c r="N1" s="31"/>
    </row>
    <row r="2" spans="1:17">
      <c r="A2" s="14" t="s">
        <v>768</v>
      </c>
    </row>
    <row r="3" spans="1:17" ht="20.25">
      <c r="A3" s="214" t="s">
        <v>2</v>
      </c>
    </row>
    <row r="4" spans="1:17">
      <c r="A4" s="13" t="s">
        <v>769</v>
      </c>
    </row>
    <row r="5" spans="1:17">
      <c r="A5" s="25" t="s">
        <v>770</v>
      </c>
      <c r="Q5" s="174"/>
    </row>
    <row r="6" spans="1:17">
      <c r="A6" s="221" t="s">
        <v>771</v>
      </c>
      <c r="B6" s="221"/>
      <c r="C6" s="174"/>
      <c r="D6" s="174"/>
      <c r="E6" s="174"/>
      <c r="F6" s="174"/>
      <c r="G6" s="174"/>
      <c r="H6" s="587"/>
      <c r="I6" s="174"/>
      <c r="J6" s="174"/>
      <c r="K6" s="588">
        <v>0</v>
      </c>
      <c r="Q6" s="174"/>
    </row>
    <row r="7" spans="1:17">
      <c r="A7" s="597" t="s">
        <v>678</v>
      </c>
      <c r="B7" s="221"/>
      <c r="C7" s="174"/>
      <c r="D7" s="174"/>
      <c r="E7" s="174"/>
      <c r="F7" s="174"/>
      <c r="G7" s="174"/>
      <c r="H7" s="587"/>
      <c r="I7" s="174"/>
      <c r="J7" s="174"/>
      <c r="K7" s="588">
        <v>0</v>
      </c>
      <c r="Q7" s="174"/>
    </row>
    <row r="8" spans="1:17">
      <c r="A8" s="597" t="s">
        <v>680</v>
      </c>
      <c r="B8" s="221"/>
      <c r="C8" s="174"/>
      <c r="D8" s="174"/>
      <c r="E8" s="174"/>
      <c r="F8" s="174"/>
      <c r="G8" s="174"/>
      <c r="H8" s="587"/>
      <c r="I8" s="174"/>
      <c r="J8" s="174"/>
      <c r="K8" s="570">
        <f>IF(K6=0,0,K6*SH!H14/(K7/100))</f>
        <v>0</v>
      </c>
      <c r="Q8" s="174" t="s">
        <v>2</v>
      </c>
    </row>
    <row r="9" spans="1:17">
      <c r="A9" s="13"/>
    </row>
    <row r="10" spans="1:17">
      <c r="A10" s="25" t="s">
        <v>772</v>
      </c>
    </row>
    <row r="11" spans="1:17">
      <c r="A11" s="174" t="s">
        <v>773</v>
      </c>
      <c r="G11" s="68" t="s">
        <v>98</v>
      </c>
      <c r="H11" s="69">
        <f>VLOOKUP(G11,$A$136:$B$138,2,FALSE)</f>
        <v>1</v>
      </c>
    </row>
    <row r="12" spans="1:17">
      <c r="A12" s="14" t="s">
        <v>774</v>
      </c>
      <c r="G12" s="73"/>
      <c r="H12" s="92">
        <f>IF(H11,1,0.9)</f>
        <v>1</v>
      </c>
    </row>
    <row r="13" spans="1:17">
      <c r="A13" s="14" t="s">
        <v>775</v>
      </c>
      <c r="G13" s="73"/>
      <c r="H13" s="78">
        <f>(1-K6)*ShReqt/H12</f>
        <v>2821.1538299086405</v>
      </c>
    </row>
    <row r="15" spans="1:17">
      <c r="A15" s="13" t="s">
        <v>776</v>
      </c>
    </row>
    <row r="16" spans="1:17">
      <c r="A16" s="14" t="s">
        <v>777</v>
      </c>
      <c r="H16" s="68">
        <v>0</v>
      </c>
    </row>
    <row r="17" spans="1:20">
      <c r="A17" s="14" t="s">
        <v>778</v>
      </c>
      <c r="H17" s="68">
        <v>0</v>
      </c>
      <c r="I17" s="14" t="s">
        <v>779</v>
      </c>
    </row>
    <row r="18" spans="1:20">
      <c r="H18" s="73"/>
      <c r="I18" s="14" t="s">
        <v>780</v>
      </c>
      <c r="P18" s="174" t="s">
        <v>1485</v>
      </c>
      <c r="S18" s="174" t="s">
        <v>1485</v>
      </c>
    </row>
    <row r="19" spans="1:20">
      <c r="A19" s="25" t="s">
        <v>781</v>
      </c>
      <c r="H19" s="73"/>
      <c r="L19" s="40"/>
      <c r="P19" s="823" t="b">
        <f>IF(OR(A26="Heat Pump",A26="Exhaust Air Heat Pump"),TRUE,FALSE)</f>
        <v>1</v>
      </c>
      <c r="S19" s="823" t="b">
        <f>IF(OR(A27="Heat Pump",A27="Exhaust Air Heat Pump"),TRUE,FALSE)</f>
        <v>1</v>
      </c>
    </row>
    <row r="20" spans="1:20">
      <c r="A20" s="174" t="s">
        <v>782</v>
      </c>
      <c r="F20" s="73"/>
      <c r="J20" s="87"/>
      <c r="K20" s="73" t="s">
        <v>783</v>
      </c>
      <c r="L20" s="73" t="s">
        <v>784</v>
      </c>
      <c r="P20" s="174" t="s">
        <v>666</v>
      </c>
      <c r="Q20" s="174"/>
      <c r="S20" s="174" t="s">
        <v>666</v>
      </c>
      <c r="T20" s="174"/>
    </row>
    <row r="21" spans="1:20">
      <c r="F21" s="73"/>
      <c r="J21" s="57" t="s">
        <v>785</v>
      </c>
      <c r="K21" s="73" t="s">
        <v>786</v>
      </c>
      <c r="L21" s="73" t="s">
        <v>787</v>
      </c>
      <c r="P21" s="269">
        <f>IF(A26="Exhaust Air Heat Pump",Vent!G32,0)</f>
        <v>0</v>
      </c>
      <c r="Q21" s="174" t="s">
        <v>154</v>
      </c>
      <c r="S21" s="269">
        <f>IF(A27="Exhaust Air Heat Pump",Vent!G32,0)</f>
        <v>0</v>
      </c>
      <c r="T21" s="174" t="s">
        <v>154</v>
      </c>
    </row>
    <row r="22" spans="1:20">
      <c r="A22" s="14" t="s">
        <v>788</v>
      </c>
      <c r="B22" s="19"/>
      <c r="C22" s="19" t="s">
        <v>698</v>
      </c>
      <c r="D22" s="19"/>
      <c r="E22" s="19"/>
      <c r="F22" s="19"/>
      <c r="G22" s="19"/>
      <c r="H22" s="57" t="s">
        <v>789</v>
      </c>
      <c r="I22" s="57"/>
      <c r="J22" s="14" t="s">
        <v>790</v>
      </c>
      <c r="K22" s="130" t="s">
        <v>791</v>
      </c>
      <c r="L22" s="130" t="s">
        <v>791</v>
      </c>
      <c r="P22" s="174" t="s">
        <v>667</v>
      </c>
      <c r="Q22" s="174"/>
      <c r="S22" s="174" t="s">
        <v>667</v>
      </c>
      <c r="T22" s="174"/>
    </row>
    <row r="23" spans="1:20">
      <c r="H23" s="14" t="s">
        <v>670</v>
      </c>
      <c r="J23" s="14" t="s">
        <v>670</v>
      </c>
      <c r="K23" s="14" t="s">
        <v>605</v>
      </c>
      <c r="L23" s="14" t="s">
        <v>701</v>
      </c>
      <c r="P23" s="740">
        <f>IFERROR(IF(OR(A26="Heat Pump",A26="Exhaust Air Heat Pump"),HP!B106*HP!B107*100,H26),0)</f>
        <v>225</v>
      </c>
      <c r="Q23" s="174" t="s">
        <v>670</v>
      </c>
      <c r="R23" s="174"/>
      <c r="S23" s="740">
        <f>IFERROR(IF(OR(A27="Heat Pump",A27="Exhaust Air Heat Pump"),HP!B108*HP!B109*100,H27),0)</f>
        <v>150</v>
      </c>
      <c r="T23" s="174" t="s">
        <v>670</v>
      </c>
    </row>
    <row r="24" spans="1:20">
      <c r="A24" s="491" t="s">
        <v>792</v>
      </c>
      <c r="C24" s="834" t="s">
        <v>705</v>
      </c>
      <c r="D24" s="837"/>
      <c r="E24" s="837"/>
      <c r="F24" s="837"/>
      <c r="H24" s="474">
        <v>0</v>
      </c>
      <c r="I24" s="40"/>
      <c r="J24" s="16">
        <v>0</v>
      </c>
      <c r="K24" s="14">
        <f>VLOOKUP($C24,fueldata,5,FALSE)</f>
        <v>1.1000000000000001</v>
      </c>
      <c r="L24" s="14">
        <f>VLOOKUP($C24,fueldata,6,FALSE)</f>
        <v>0.20300000000000001</v>
      </c>
      <c r="M24" s="133">
        <f>IF($H24&gt;0,$J24*K24/$H24,0)</f>
        <v>0</v>
      </c>
      <c r="N24" s="133">
        <f t="shared" ref="N24:N25" si="0">IF($H24&gt;0,$J24*L24/$H24,0)</f>
        <v>0</v>
      </c>
      <c r="P24" s="174" t="s">
        <v>672</v>
      </c>
      <c r="Q24" s="174"/>
      <c r="R24" s="174"/>
      <c r="S24" s="174" t="s">
        <v>793</v>
      </c>
      <c r="T24" s="174"/>
    </row>
    <row r="25" spans="1:20">
      <c r="A25" s="491" t="s">
        <v>792</v>
      </c>
      <c r="C25" s="834" t="s">
        <v>908</v>
      </c>
      <c r="D25" s="837"/>
      <c r="E25" s="837"/>
      <c r="F25" s="837"/>
      <c r="H25" s="16">
        <v>0</v>
      </c>
      <c r="I25" s="40"/>
      <c r="J25" s="16">
        <v>0</v>
      </c>
      <c r="K25" s="14">
        <f>VLOOKUP($C25,fueldata,5,FALSE)</f>
        <v>1.1000000000000001</v>
      </c>
      <c r="L25" s="14">
        <f>VLOOKUP($C25,fueldata,6,FALSE)</f>
        <v>2.5000000000000001E-2</v>
      </c>
      <c r="M25" s="133">
        <f>IF($H25&gt;0,$J25*K25/$H25,0)</f>
        <v>0</v>
      </c>
      <c r="N25" s="133">
        <f t="shared" si="0"/>
        <v>0</v>
      </c>
      <c r="P25" s="741">
        <f>IF(A26="Exhaust Air Heat Pump",HP!B111,1)</f>
        <v>1</v>
      </c>
      <c r="Q25" s="174" t="s">
        <v>670</v>
      </c>
      <c r="R25" s="174"/>
      <c r="S25" s="741">
        <f>IF(A27="Exhaust Air Heat Pump",HP!B112,1)</f>
        <v>1</v>
      </c>
      <c r="T25" s="174" t="s">
        <v>670</v>
      </c>
    </row>
    <row r="26" spans="1:20">
      <c r="A26" s="491" t="s">
        <v>669</v>
      </c>
      <c r="C26" s="834" t="s">
        <v>911</v>
      </c>
      <c r="D26" s="837"/>
      <c r="E26" s="837"/>
      <c r="F26" s="837"/>
      <c r="H26" s="255">
        <v>0</v>
      </c>
      <c r="I26" s="40" t="str">
        <f>IF(OR(A26="Heat Pump",A26="Exhaust Air Heat Pump"),"Space Heating","")</f>
        <v>Space Heating</v>
      </c>
      <c r="J26" s="16">
        <v>0</v>
      </c>
      <c r="K26" s="14">
        <f>VLOOKUP($C26,fueldata,5,FALSE)</f>
        <v>2.08</v>
      </c>
      <c r="L26" s="14">
        <f>VLOOKUP($C26,fueldata,6,FALSE)</f>
        <v>0.40899999999999997</v>
      </c>
      <c r="M26" s="133">
        <f>IF(J26&gt;0,IF(OR(A26="Heat Pump",A26="Exhaust Air Heat Pump"),$J26*K26/$P$23,$J26*K26/H26),0)</f>
        <v>0</v>
      </c>
      <c r="N26" s="133">
        <f>IFERROR(IF(L26&gt;0,IF(OR(A26="Heat Pump",A26="Exhaust Air Heat Pump"),$J26*L26/$P$23,$J26*L26/H26),0),0)</f>
        <v>0</v>
      </c>
      <c r="P26" s="174" t="s">
        <v>676</v>
      </c>
      <c r="Q26" s="174"/>
      <c r="R26" s="174"/>
      <c r="S26" s="174" t="s">
        <v>685</v>
      </c>
      <c r="T26" s="174"/>
    </row>
    <row r="27" spans="1:20">
      <c r="A27" s="491" t="s">
        <v>669</v>
      </c>
      <c r="C27" s="834" t="s">
        <v>911</v>
      </c>
      <c r="D27" s="837"/>
      <c r="E27" s="837"/>
      <c r="F27" s="837"/>
      <c r="H27" s="255">
        <v>0</v>
      </c>
      <c r="I27" s="40" t="str">
        <f>IF(OR(A27="Heat Pump",A27="Exhaust Air Heat Pump"),"Water Heating","")</f>
        <v>Water Heating</v>
      </c>
      <c r="J27" s="16">
        <v>0</v>
      </c>
      <c r="K27" s="14">
        <f>VLOOKUP($C27,fueldata,5,FALSE)</f>
        <v>2.08</v>
      </c>
      <c r="L27" s="14">
        <f>VLOOKUP($C27,fueldata,6,FALSE)</f>
        <v>0.40899999999999997</v>
      </c>
      <c r="M27" s="133">
        <f>IF(J27&gt;0,IF(OR(A27="Heat Pump",A27="Exhaust Air Heat Pump"),$J27*K27/$S$23,$J27*K27/H27),0)</f>
        <v>0</v>
      </c>
      <c r="N27" s="133">
        <f>IFERROR(IF(L27&gt;0,IF(OR(A27="Heat Pump",A27="Exhaust Air Heat Pump"),$J27*L27/$S$23,$J27*L27/H27),0),0)</f>
        <v>0</v>
      </c>
      <c r="P27" s="743">
        <f>IF(A26="Other",0,(1-H17)*(H13+WhReqt/H12)*J26/100)</f>
        <v>0</v>
      </c>
      <c r="Q27" s="174" t="s">
        <v>396</v>
      </c>
      <c r="R27" s="174"/>
      <c r="S27" s="742">
        <f>IF(A27="Other",0,(1-H17)*(H13+WhReqt/H12)*J27/100)</f>
        <v>0</v>
      </c>
      <c r="T27" s="174" t="s">
        <v>396</v>
      </c>
    </row>
    <row r="28" spans="1:20">
      <c r="A28" s="14" t="s">
        <v>794</v>
      </c>
      <c r="J28" s="132"/>
      <c r="K28" s="17"/>
      <c r="L28" s="131"/>
      <c r="R28" s="174"/>
    </row>
    <row r="29" spans="1:20">
      <c r="A29" s="174"/>
      <c r="F29" s="73"/>
      <c r="I29" s="51" t="s">
        <v>795</v>
      </c>
      <c r="J29" s="34">
        <f>SUM(J24:J28)</f>
        <v>0</v>
      </c>
      <c r="K29" s="14" t="str">
        <f>IF(OR(J29=100,J29=0),"OK","Should add up to 100%")</f>
        <v>OK</v>
      </c>
      <c r="P29" s="174"/>
      <c r="Q29" s="174"/>
      <c r="R29" s="269"/>
    </row>
    <row r="30" spans="1:20">
      <c r="A30" s="14" t="s">
        <v>796</v>
      </c>
      <c r="K30" s="134">
        <f>SUM(M24:M27)*$H16</f>
        <v>0</v>
      </c>
      <c r="L30" s="134">
        <f>SUM(N24:N27)*$H16</f>
        <v>0</v>
      </c>
      <c r="P30" s="174"/>
      <c r="Q30" s="174"/>
      <c r="R30" s="492"/>
    </row>
    <row r="31" spans="1:20">
      <c r="A31" s="25" t="s">
        <v>1494</v>
      </c>
      <c r="L31" s="40"/>
      <c r="P31" s="174"/>
      <c r="Q31" s="174"/>
      <c r="R31" s="492"/>
    </row>
    <row r="32" spans="1:20">
      <c r="A32" s="174" t="s">
        <v>1495</v>
      </c>
      <c r="L32" s="40"/>
      <c r="P32" s="174"/>
      <c r="Q32" s="174"/>
      <c r="R32" s="174"/>
    </row>
    <row r="33" spans="1:18">
      <c r="A33" s="14" t="s">
        <v>661</v>
      </c>
      <c r="G33" s="834" t="s">
        <v>882</v>
      </c>
      <c r="H33" s="834"/>
      <c r="I33" s="834"/>
      <c r="J33" s="17">
        <f>VLOOKUP(G33,A141:D143,4,FALSE)</f>
        <v>2</v>
      </c>
      <c r="K33" s="14" t="s">
        <v>798</v>
      </c>
      <c r="R33" s="174"/>
    </row>
    <row r="34" spans="1:18">
      <c r="A34" s="14" t="s">
        <v>799</v>
      </c>
      <c r="R34" s="174"/>
    </row>
    <row r="35" spans="1:18">
      <c r="B35" s="597" t="s">
        <v>800</v>
      </c>
      <c r="C35" s="597"/>
      <c r="D35" s="597"/>
      <c r="E35" s="597"/>
      <c r="L35" s="68">
        <v>0</v>
      </c>
      <c r="N35" s="174"/>
      <c r="R35" s="174"/>
    </row>
    <row r="36" spans="1:18">
      <c r="B36" s="597" t="s">
        <v>801</v>
      </c>
      <c r="C36" s="597"/>
      <c r="D36" s="597"/>
      <c r="E36" s="597"/>
      <c r="L36" s="68">
        <v>0</v>
      </c>
      <c r="R36" s="174"/>
    </row>
    <row r="37" spans="1:18">
      <c r="B37" s="14" t="s">
        <v>802</v>
      </c>
      <c r="G37" s="834" t="s">
        <v>705</v>
      </c>
      <c r="H37" s="834"/>
      <c r="I37" s="834"/>
      <c r="J37" s="834"/>
      <c r="L37" s="73"/>
      <c r="R37" s="174"/>
    </row>
    <row r="38" spans="1:18" ht="25.5">
      <c r="B38" s="597"/>
      <c r="C38" s="597"/>
      <c r="D38" s="597"/>
      <c r="E38" s="597"/>
      <c r="J38" s="17"/>
      <c r="K38" s="91" t="s">
        <v>803</v>
      </c>
      <c r="L38" s="91" t="s">
        <v>700</v>
      </c>
      <c r="R38" s="174"/>
    </row>
    <row r="39" spans="1:18">
      <c r="B39" s="597"/>
      <c r="C39" s="597"/>
      <c r="D39" s="597"/>
      <c r="E39" s="597"/>
      <c r="J39" s="17"/>
      <c r="K39" s="73" t="s">
        <v>605</v>
      </c>
      <c r="L39" s="73" t="s">
        <v>701</v>
      </c>
    </row>
    <row r="40" spans="1:18">
      <c r="B40" s="597" t="s">
        <v>804</v>
      </c>
      <c r="C40" s="597"/>
      <c r="D40" s="597"/>
      <c r="E40" s="597"/>
      <c r="K40" s="92">
        <f>VLOOKUP($G$37,fueldata,5,FALSE)</f>
        <v>1.1000000000000001</v>
      </c>
      <c r="L40" s="93">
        <f>VLOOKUP($G$37,fueldata,6,FALSE)</f>
        <v>0.20300000000000001</v>
      </c>
    </row>
    <row r="41" spans="1:18">
      <c r="B41" s="597" t="s">
        <v>805</v>
      </c>
      <c r="C41" s="597"/>
      <c r="D41" s="597"/>
      <c r="E41" s="597"/>
      <c r="K41" s="94">
        <f>Fuel!G19</f>
        <v>2.08</v>
      </c>
      <c r="L41" s="95">
        <f>Fuel!H19</f>
        <v>0.40899999999999997</v>
      </c>
    </row>
    <row r="42" spans="1:18">
      <c r="B42" s="597" t="s">
        <v>806</v>
      </c>
      <c r="C42" s="597"/>
      <c r="D42" s="597"/>
      <c r="E42" s="597"/>
      <c r="K42" s="92">
        <f>IF(L36=0,0,(K40-$L$35*K41)/$L$36)</f>
        <v>0</v>
      </c>
      <c r="L42" s="93">
        <f>IF(L36=0,0,(L40-$L$35*L41)/$L$36)</f>
        <v>0</v>
      </c>
      <c r="M42" s="17"/>
    </row>
    <row r="43" spans="1:18" ht="65.25" customHeight="1">
      <c r="A43" s="14" t="s">
        <v>1496</v>
      </c>
      <c r="B43" s="597"/>
      <c r="C43" s="597"/>
      <c r="D43" s="597"/>
      <c r="J43" s="245" t="s">
        <v>807</v>
      </c>
      <c r="K43" s="245" t="s">
        <v>808</v>
      </c>
      <c r="L43" s="91" t="s">
        <v>700</v>
      </c>
    </row>
    <row r="44" spans="1:18">
      <c r="B44" s="597" t="s">
        <v>1497</v>
      </c>
      <c r="C44" s="597"/>
      <c r="D44" s="597"/>
      <c r="J44" s="286">
        <v>0</v>
      </c>
      <c r="K44" s="286">
        <v>0</v>
      </c>
      <c r="L44" s="286">
        <v>0</v>
      </c>
    </row>
    <row r="45" spans="1:18">
      <c r="A45" s="14" t="s">
        <v>172</v>
      </c>
      <c r="B45" s="597"/>
      <c r="C45" s="597"/>
      <c r="D45" s="597"/>
      <c r="K45" s="73"/>
      <c r="L45" s="77"/>
    </row>
    <row r="46" spans="1:18">
      <c r="A46" s="597" t="s">
        <v>1498</v>
      </c>
      <c r="C46" s="50"/>
      <c r="D46" s="50"/>
      <c r="E46" s="50"/>
      <c r="K46" s="87">
        <f>CHOOSE($J$33,K42,(J44+K44))*$H$16</f>
        <v>0</v>
      </c>
      <c r="L46" s="77">
        <f>CHOOSE($J$33,L42,L44)*$H$16</f>
        <v>0</v>
      </c>
    </row>
    <row r="47" spans="1:18">
      <c r="K47" s="73"/>
      <c r="L47" s="73"/>
    </row>
    <row r="48" spans="1:18">
      <c r="A48" s="597" t="s">
        <v>809</v>
      </c>
      <c r="K48" s="96">
        <f>$H$17*K46+(1-$H$17)*K30</f>
        <v>0</v>
      </c>
      <c r="L48" s="97">
        <f>$H$17*L46+(1-$H$17)*L30</f>
        <v>0</v>
      </c>
    </row>
    <row r="49" spans="1:13">
      <c r="B49" s="597"/>
      <c r="C49" s="50"/>
      <c r="D49" s="50"/>
      <c r="E49" s="50"/>
      <c r="K49" s="73"/>
      <c r="L49" s="73"/>
    </row>
    <row r="50" spans="1:13">
      <c r="A50" s="13" t="s">
        <v>810</v>
      </c>
      <c r="H50" s="166">
        <f>Vent!G47 + 0.01*(E75+E77)+WH!F34</f>
        <v>53.097642798099116</v>
      </c>
      <c r="K50" s="73"/>
      <c r="L50" s="73"/>
    </row>
    <row r="51" spans="1:13">
      <c r="B51" s="597"/>
      <c r="C51" s="50"/>
      <c r="D51" s="50"/>
      <c r="E51" s="50"/>
    </row>
    <row r="52" spans="1:13">
      <c r="A52" s="13" t="s">
        <v>697</v>
      </c>
      <c r="B52" s="174"/>
      <c r="C52" s="174"/>
      <c r="D52" s="174"/>
      <c r="E52" s="174"/>
      <c r="F52" s="587"/>
      <c r="G52" s="174"/>
      <c r="H52" s="174"/>
      <c r="I52" s="174"/>
      <c r="J52" s="174"/>
      <c r="K52" s="174"/>
    </row>
    <row r="53" spans="1:13" ht="48">
      <c r="A53" s="174"/>
      <c r="B53" s="640"/>
      <c r="D53" s="14" t="s">
        <v>698</v>
      </c>
      <c r="H53" s="91" t="s">
        <v>699</v>
      </c>
      <c r="I53" s="91" t="s">
        <v>700</v>
      </c>
      <c r="J53" s="128"/>
      <c r="K53" s="128"/>
      <c r="L53" s="174"/>
      <c r="M53" s="174"/>
    </row>
    <row r="54" spans="1:13">
      <c r="A54" s="174"/>
      <c r="B54" s="269"/>
      <c r="H54" s="508" t="s">
        <v>605</v>
      </c>
      <c r="I54" s="508" t="s">
        <v>701</v>
      </c>
      <c r="J54" s="589"/>
      <c r="K54" s="589"/>
      <c r="L54" s="174"/>
      <c r="M54" s="174"/>
    </row>
    <row r="55" spans="1:13">
      <c r="A55" s="174" t="s">
        <v>704</v>
      </c>
      <c r="B55" s="269"/>
      <c r="D55" s="14" t="s">
        <v>811</v>
      </c>
      <c r="H55" s="572">
        <f>K48</f>
        <v>0</v>
      </c>
      <c r="I55" s="641">
        <f>L48</f>
        <v>0</v>
      </c>
      <c r="J55" s="572"/>
      <c r="K55" s="571"/>
      <c r="M55" s="174"/>
    </row>
    <row r="56" spans="1:13">
      <c r="A56" s="174" t="s">
        <v>706</v>
      </c>
      <c r="B56" s="269"/>
      <c r="D56" s="849" t="s">
        <v>103</v>
      </c>
      <c r="E56" s="849"/>
      <c r="F56" s="849"/>
      <c r="G56" s="849"/>
      <c r="H56" s="572">
        <f>VLOOKUP($D56,fueldata,5,FALSE)</f>
        <v>0</v>
      </c>
      <c r="I56" s="641">
        <f>VLOOKUP($D56,fueldata,6,FALSE)</f>
        <v>0</v>
      </c>
      <c r="J56" s="572"/>
      <c r="K56" s="571"/>
      <c r="L56" s="174"/>
      <c r="M56" s="174"/>
    </row>
    <row r="57" spans="1:13">
      <c r="A57" s="174" t="s">
        <v>812</v>
      </c>
      <c r="B57" s="269"/>
      <c r="D57" s="14" t="s">
        <v>811</v>
      </c>
      <c r="H57" s="572">
        <f>H55</f>
        <v>0</v>
      </c>
      <c r="I57" s="641">
        <f>I55</f>
        <v>0</v>
      </c>
      <c r="J57" s="572"/>
      <c r="K57" s="571"/>
      <c r="L57" s="174"/>
      <c r="M57" s="174"/>
    </row>
    <row r="58" spans="1:13">
      <c r="A58" s="174" t="s">
        <v>708</v>
      </c>
      <c r="B58" s="269"/>
      <c r="D58" s="640" t="s">
        <v>813</v>
      </c>
      <c r="E58" s="640"/>
      <c r="F58" s="640"/>
      <c r="G58" s="640"/>
      <c r="H58" s="642">
        <v>0</v>
      </c>
      <c r="I58" s="642">
        <v>0</v>
      </c>
      <c r="J58" s="643"/>
      <c r="K58" s="643"/>
      <c r="L58" s="174"/>
      <c r="M58" s="174"/>
    </row>
    <row r="59" spans="1:13">
      <c r="A59" s="174" t="s">
        <v>709</v>
      </c>
      <c r="B59" s="269"/>
      <c r="H59" s="644">
        <f>Fuel!G18</f>
        <v>2.08</v>
      </c>
      <c r="I59" s="645">
        <f>Fuel!H18</f>
        <v>0.40899999999999997</v>
      </c>
      <c r="J59" s="572"/>
      <c r="K59" s="571"/>
      <c r="L59" s="174"/>
      <c r="M59" s="174"/>
    </row>
    <row r="60" spans="1:13">
      <c r="A60" s="174" t="s">
        <v>710</v>
      </c>
      <c r="B60" s="269"/>
      <c r="H60" s="644">
        <f>Fuel!G18</f>
        <v>2.08</v>
      </c>
      <c r="I60" s="645">
        <f>Fuel!H18</f>
        <v>0.40899999999999997</v>
      </c>
      <c r="J60" s="572"/>
      <c r="K60" s="571"/>
      <c r="L60" s="174"/>
      <c r="M60" s="174"/>
    </row>
    <row r="61" spans="1:13">
      <c r="A61" s="174" t="s">
        <v>711</v>
      </c>
      <c r="B61" s="269"/>
      <c r="H61" s="572"/>
      <c r="I61" s="572"/>
      <c r="J61" s="572"/>
      <c r="K61" s="129"/>
    </row>
    <row r="62" spans="1:13">
      <c r="A62" s="174" t="s">
        <v>713</v>
      </c>
      <c r="B62" s="269" t="s">
        <v>714</v>
      </c>
      <c r="C62" s="174"/>
      <c r="D62" s="849"/>
      <c r="E62" s="837"/>
      <c r="F62" s="837"/>
      <c r="G62" s="837"/>
      <c r="H62" s="572"/>
      <c r="I62" s="572"/>
      <c r="J62" s="572"/>
      <c r="K62" s="129"/>
    </row>
    <row r="63" spans="1:13">
      <c r="A63" s="174"/>
      <c r="B63" s="174" t="s">
        <v>715</v>
      </c>
      <c r="C63" s="174"/>
      <c r="D63" s="174"/>
      <c r="E63" s="174"/>
      <c r="F63" s="174"/>
      <c r="G63" s="174"/>
      <c r="H63" s="646"/>
      <c r="I63" s="646"/>
      <c r="J63" s="572"/>
      <c r="K63" s="17"/>
    </row>
    <row r="64" spans="1:13">
      <c r="A64" s="174"/>
      <c r="B64" s="174" t="s">
        <v>717</v>
      </c>
      <c r="C64" s="174"/>
      <c r="D64" s="174"/>
      <c r="E64" s="174"/>
      <c r="F64" s="174"/>
      <c r="G64" s="174"/>
      <c r="H64" s="646"/>
      <c r="I64" s="646"/>
      <c r="J64" s="572"/>
      <c r="K64" s="17"/>
    </row>
    <row r="65" spans="1:11">
      <c r="A65" s="174" t="s">
        <v>719</v>
      </c>
      <c r="B65" s="269" t="s">
        <v>714</v>
      </c>
      <c r="C65" s="174"/>
      <c r="D65" s="849"/>
      <c r="E65" s="837"/>
      <c r="F65" s="837"/>
      <c r="G65" s="837"/>
      <c r="H65" s="643"/>
      <c r="I65" s="643"/>
      <c r="J65" s="572"/>
      <c r="K65" s="17"/>
    </row>
    <row r="66" spans="1:11">
      <c r="A66" s="174"/>
      <c r="B66" s="174" t="s">
        <v>715</v>
      </c>
      <c r="C66" s="174"/>
      <c r="D66" s="174"/>
      <c r="E66" s="174"/>
      <c r="F66" s="174"/>
      <c r="G66" s="174"/>
      <c r="H66" s="646"/>
      <c r="I66" s="646"/>
      <c r="J66" s="572"/>
      <c r="K66" s="17"/>
    </row>
    <row r="67" spans="1:11">
      <c r="A67" s="174"/>
      <c r="B67" s="174" t="s">
        <v>717</v>
      </c>
      <c r="C67" s="174"/>
      <c r="D67" s="174"/>
      <c r="E67" s="174"/>
      <c r="F67" s="174"/>
      <c r="G67" s="174"/>
      <c r="H67" s="646"/>
      <c r="I67" s="646"/>
      <c r="J67" s="572"/>
      <c r="K67" s="17"/>
    </row>
    <row r="68" spans="1:11">
      <c r="A68" s="174" t="s">
        <v>723</v>
      </c>
      <c r="B68" s="269" t="s">
        <v>714</v>
      </c>
      <c r="C68" s="174"/>
      <c r="D68" s="849"/>
      <c r="E68" s="837"/>
      <c r="F68" s="837"/>
      <c r="G68" s="837"/>
      <c r="H68" s="643"/>
      <c r="I68" s="643"/>
      <c r="J68" s="572"/>
      <c r="K68" s="17"/>
    </row>
    <row r="69" spans="1:11">
      <c r="A69" s="174"/>
      <c r="B69" s="174" t="s">
        <v>715</v>
      </c>
      <c r="C69" s="174"/>
      <c r="D69" s="174"/>
      <c r="E69" s="174"/>
      <c r="F69" s="174"/>
      <c r="G69" s="174"/>
      <c r="H69" s="647"/>
      <c r="I69" s="647"/>
      <c r="J69" s="572"/>
      <c r="K69" s="17"/>
    </row>
    <row r="70" spans="1:11">
      <c r="A70" s="174"/>
      <c r="B70" s="174" t="s">
        <v>717</v>
      </c>
      <c r="C70" s="174"/>
      <c r="D70" s="174"/>
      <c r="E70" s="174"/>
      <c r="F70" s="174"/>
      <c r="G70" s="174"/>
      <c r="H70" s="646"/>
      <c r="I70" s="646"/>
      <c r="J70" s="572"/>
      <c r="K70" s="17"/>
    </row>
    <row r="71" spans="1:11">
      <c r="A71" s="174"/>
      <c r="B71" s="174"/>
      <c r="C71" s="174"/>
      <c r="D71" s="174"/>
      <c r="E71" s="174"/>
      <c r="F71" s="587"/>
      <c r="G71" s="174"/>
      <c r="H71" s="174"/>
      <c r="I71" s="174"/>
      <c r="J71" s="174"/>
      <c r="K71" s="174"/>
    </row>
    <row r="72" spans="1:11">
      <c r="A72" s="13" t="s">
        <v>726</v>
      </c>
      <c r="B72" s="174"/>
      <c r="C72" s="174"/>
      <c r="D72" s="174"/>
      <c r="E72" s="174"/>
      <c r="F72" s="587"/>
      <c r="G72" s="174"/>
      <c r="H72" s="174"/>
      <c r="I72" s="174"/>
      <c r="J72" s="174"/>
      <c r="K72" s="174"/>
    </row>
    <row r="73" spans="1:11" ht="37.5">
      <c r="A73" s="174"/>
      <c r="B73" s="174"/>
      <c r="E73" s="91" t="s">
        <v>727</v>
      </c>
      <c r="F73" s="91" t="s">
        <v>728</v>
      </c>
      <c r="G73" s="91" t="s">
        <v>729</v>
      </c>
      <c r="H73" s="128"/>
      <c r="J73" s="174"/>
      <c r="K73" s="174"/>
    </row>
    <row r="74" spans="1:11">
      <c r="A74" s="174"/>
      <c r="B74" s="174"/>
      <c r="E74" s="508" t="s">
        <v>640</v>
      </c>
      <c r="F74" s="508" t="s">
        <v>640</v>
      </c>
      <c r="G74" s="508" t="s">
        <v>730</v>
      </c>
      <c r="H74" s="589"/>
      <c r="J74" s="174"/>
      <c r="K74" s="174"/>
    </row>
    <row r="75" spans="1:11">
      <c r="A75" s="174" t="s">
        <v>704</v>
      </c>
      <c r="B75" s="174"/>
      <c r="E75" s="570">
        <f>H13</f>
        <v>2821.1538299086405</v>
      </c>
      <c r="F75" s="634">
        <f>E75*H55</f>
        <v>0</v>
      </c>
      <c r="G75" s="570">
        <f t="shared" ref="G75:G80" si="1">E75*I55</f>
        <v>0</v>
      </c>
      <c r="H75" s="571"/>
      <c r="J75" s="174"/>
      <c r="K75" s="174"/>
    </row>
    <row r="76" spans="1:11">
      <c r="A76" s="174" t="s">
        <v>706</v>
      </c>
      <c r="B76" s="174"/>
      <c r="E76" s="570">
        <f>K8</f>
        <v>0</v>
      </c>
      <c r="F76" s="634">
        <f t="shared" ref="F76:F80" si="2">E76*H56</f>
        <v>0</v>
      </c>
      <c r="G76" s="570">
        <f t="shared" si="1"/>
        <v>0</v>
      </c>
      <c r="H76" s="571"/>
      <c r="J76" s="174"/>
      <c r="K76" s="174"/>
    </row>
    <row r="77" spans="1:11">
      <c r="A77" s="174" t="s">
        <v>707</v>
      </c>
      <c r="B77" s="174"/>
      <c r="E77" s="634">
        <f>WhReqt/H12</f>
        <v>2488.6104499012713</v>
      </c>
      <c r="F77" s="634">
        <f t="shared" si="2"/>
        <v>0</v>
      </c>
      <c r="G77" s="570">
        <f t="shared" si="1"/>
        <v>0</v>
      </c>
      <c r="H77" s="571"/>
      <c r="J77" s="174"/>
      <c r="K77" s="174"/>
    </row>
    <row r="78" spans="1:11">
      <c r="A78" s="174" t="s">
        <v>708</v>
      </c>
      <c r="B78" s="174"/>
      <c r="E78" s="634">
        <f>IF(WhReqtSup=0,0,NA())</f>
        <v>0</v>
      </c>
      <c r="F78" s="634">
        <f t="shared" si="2"/>
        <v>0</v>
      </c>
      <c r="G78" s="570">
        <f t="shared" si="1"/>
        <v>0</v>
      </c>
      <c r="H78" s="571"/>
      <c r="J78" s="174"/>
      <c r="K78" s="174"/>
    </row>
    <row r="79" spans="1:11">
      <c r="A79" s="174" t="s">
        <v>734</v>
      </c>
      <c r="B79" s="174"/>
      <c r="E79" s="634">
        <f>H50</f>
        <v>53.097642798099116</v>
      </c>
      <c r="F79" s="634">
        <f t="shared" si="2"/>
        <v>110.44309702004617</v>
      </c>
      <c r="G79" s="570">
        <f t="shared" si="1"/>
        <v>21.716935904422538</v>
      </c>
      <c r="H79" s="571"/>
      <c r="J79" s="174"/>
      <c r="K79" s="174"/>
    </row>
    <row r="80" spans="1:11">
      <c r="A80" s="174" t="s">
        <v>710</v>
      </c>
      <c r="B80" s="174"/>
      <c r="E80" s="634">
        <f>Light!G56</f>
        <v>246.51445106940128</v>
      </c>
      <c r="F80" s="634">
        <f t="shared" si="2"/>
        <v>512.75005822435469</v>
      </c>
      <c r="G80" s="570">
        <f t="shared" si="1"/>
        <v>100.82441048738511</v>
      </c>
      <c r="H80" s="571"/>
      <c r="J80" s="174"/>
      <c r="K80" s="174"/>
    </row>
    <row r="81" spans="1:15">
      <c r="A81" s="174" t="s">
        <v>737</v>
      </c>
      <c r="B81" s="174"/>
      <c r="E81" s="635">
        <v>0</v>
      </c>
      <c r="F81" s="634">
        <f>E81*H60</f>
        <v>0</v>
      </c>
      <c r="G81" s="570">
        <f>E81*I60</f>
        <v>0</v>
      </c>
      <c r="H81" s="571"/>
      <c r="J81" s="174"/>
      <c r="K81" s="174"/>
    </row>
    <row r="82" spans="1:15">
      <c r="A82" s="174" t="s">
        <v>713</v>
      </c>
      <c r="B82" s="174" t="s">
        <v>739</v>
      </c>
      <c r="E82" s="636"/>
      <c r="F82" s="634">
        <f>$E82*H63</f>
        <v>0</v>
      </c>
      <c r="G82" s="648">
        <f>$E82*I63</f>
        <v>0</v>
      </c>
      <c r="H82" s="571"/>
      <c r="J82" s="174"/>
      <c r="K82" s="174"/>
    </row>
    <row r="83" spans="1:15">
      <c r="A83" s="174"/>
      <c r="B83" s="174" t="s">
        <v>740</v>
      </c>
      <c r="E83" s="636"/>
      <c r="F83" s="634">
        <f>$E83*H64</f>
        <v>0</v>
      </c>
      <c r="G83" s="648">
        <f>$E83*I64</f>
        <v>0</v>
      </c>
      <c r="H83" s="571"/>
      <c r="J83" s="174"/>
      <c r="K83" s="174"/>
    </row>
    <row r="84" spans="1:15">
      <c r="A84" s="174"/>
      <c r="B84" s="174"/>
      <c r="E84" s="649"/>
      <c r="F84" s="649"/>
      <c r="G84" s="650"/>
      <c r="H84" s="571"/>
      <c r="J84" s="174"/>
      <c r="K84" s="174"/>
    </row>
    <row r="85" spans="1:15">
      <c r="A85" s="174" t="s">
        <v>719</v>
      </c>
      <c r="B85" s="174" t="s">
        <v>739</v>
      </c>
      <c r="E85" s="636"/>
      <c r="F85" s="634">
        <f>$E85*H66</f>
        <v>0</v>
      </c>
      <c r="G85" s="648">
        <f>$E85*I66</f>
        <v>0</v>
      </c>
      <c r="H85" s="571"/>
      <c r="J85" s="174"/>
      <c r="K85" s="174"/>
    </row>
    <row r="86" spans="1:15">
      <c r="A86" s="174"/>
      <c r="B86" s="174" t="s">
        <v>740</v>
      </c>
      <c r="E86" s="636"/>
      <c r="F86" s="634">
        <f>$E86*H67</f>
        <v>0</v>
      </c>
      <c r="G86" s="648">
        <f>$E86*I67</f>
        <v>0</v>
      </c>
      <c r="H86" s="571"/>
      <c r="J86" s="174"/>
      <c r="K86" s="174"/>
    </row>
    <row r="87" spans="1:15">
      <c r="A87" s="174"/>
      <c r="B87" s="174"/>
      <c r="E87" s="649"/>
      <c r="F87" s="649"/>
      <c r="G87" s="650"/>
      <c r="H87" s="571"/>
      <c r="J87" s="174"/>
      <c r="K87" s="174"/>
    </row>
    <row r="88" spans="1:15">
      <c r="A88" s="174" t="s">
        <v>723</v>
      </c>
      <c r="B88" s="174" t="s">
        <v>739</v>
      </c>
      <c r="E88" s="636"/>
      <c r="F88" s="634">
        <f>$E88*H69</f>
        <v>0</v>
      </c>
      <c r="G88" s="648">
        <f>$E88*I69</f>
        <v>0</v>
      </c>
      <c r="H88" s="571"/>
      <c r="J88" s="174"/>
      <c r="K88" s="174"/>
    </row>
    <row r="89" spans="1:15">
      <c r="A89" s="174"/>
      <c r="B89" s="174" t="s">
        <v>740</v>
      </c>
      <c r="E89" s="636"/>
      <c r="F89" s="634">
        <f>$E89*H70</f>
        <v>0</v>
      </c>
      <c r="G89" s="648">
        <f>$E89*I70</f>
        <v>0</v>
      </c>
      <c r="H89" s="571"/>
      <c r="J89" s="174"/>
      <c r="K89" s="174"/>
    </row>
    <row r="90" spans="1:15">
      <c r="B90" s="597"/>
      <c r="C90" s="50"/>
      <c r="D90" s="50"/>
      <c r="E90" s="50"/>
    </row>
    <row r="91" spans="1:15">
      <c r="B91" s="597"/>
      <c r="C91" s="50"/>
      <c r="D91" s="50"/>
      <c r="E91" s="50"/>
    </row>
    <row r="92" spans="1:15">
      <c r="A92" s="112" t="s">
        <v>814</v>
      </c>
      <c r="B92" s="651"/>
      <c r="C92" s="126"/>
      <c r="D92" s="126"/>
      <c r="E92" s="126"/>
      <c r="F92" s="21"/>
      <c r="G92" s="21"/>
      <c r="H92" s="21"/>
      <c r="I92" s="21"/>
      <c r="J92" s="21"/>
      <c r="K92" s="21"/>
      <c r="L92" s="21"/>
      <c r="M92" s="21"/>
      <c r="N92" s="21"/>
      <c r="O92" s="21"/>
    </row>
    <row r="93" spans="1:15">
      <c r="A93" s="112"/>
      <c r="B93" s="651"/>
      <c r="C93" s="126"/>
      <c r="D93" s="126"/>
      <c r="E93" s="126"/>
      <c r="F93" s="22"/>
      <c r="G93" s="22"/>
      <c r="H93" s="22"/>
      <c r="I93" s="22"/>
      <c r="J93" s="21"/>
      <c r="K93" s="21"/>
      <c r="L93" s="21"/>
      <c r="M93" s="21"/>
      <c r="N93" s="21"/>
      <c r="O93" s="21"/>
    </row>
    <row r="94" spans="1:15">
      <c r="A94" s="135" t="s">
        <v>815</v>
      </c>
      <c r="B94" s="651"/>
      <c r="C94" s="126"/>
      <c r="D94" s="126"/>
      <c r="E94" s="126"/>
      <c r="F94" s="56">
        <f>(E75+E77)*H16*(1-H17)</f>
        <v>0</v>
      </c>
      <c r="G94" s="22"/>
      <c r="H94" s="22"/>
      <c r="I94" s="22"/>
      <c r="J94" s="21"/>
      <c r="K94" s="21"/>
      <c r="L94" s="21"/>
      <c r="M94" s="21"/>
      <c r="N94" s="21"/>
      <c r="O94" s="21"/>
    </row>
    <row r="95" spans="1:15">
      <c r="A95" s="249" t="s">
        <v>816</v>
      </c>
      <c r="B95" s="651"/>
      <c r="C95" s="126"/>
      <c r="D95" s="126"/>
      <c r="E95" s="126"/>
      <c r="F95" s="56">
        <f>IF(J33=1,(E75+E77)*(H17),0)</f>
        <v>0</v>
      </c>
      <c r="G95" s="22"/>
      <c r="H95" s="56"/>
      <c r="I95" s="22"/>
      <c r="J95" s="21"/>
      <c r="K95" s="21"/>
      <c r="L95" s="21"/>
      <c r="M95" s="21"/>
      <c r="N95" s="21"/>
      <c r="O95" s="21"/>
    </row>
    <row r="96" spans="1:15">
      <c r="A96" s="249" t="s">
        <v>817</v>
      </c>
      <c r="B96" s="21"/>
      <c r="C96" s="21"/>
      <c r="D96" s="21"/>
      <c r="E96" s="21"/>
      <c r="F96" s="56">
        <f>IF(J33=2,(E75+E77)*(H17),0)</f>
        <v>0</v>
      </c>
      <c r="G96" s="21"/>
      <c r="H96" s="21"/>
      <c r="I96" s="175"/>
      <c r="J96" s="21"/>
      <c r="K96" s="21"/>
      <c r="L96" s="21"/>
      <c r="M96" s="21"/>
      <c r="N96" s="21"/>
      <c r="O96" s="21"/>
    </row>
    <row r="97" spans="1:30">
      <c r="A97" s="236" t="s">
        <v>818</v>
      </c>
      <c r="B97" s="21"/>
      <c r="C97" s="21"/>
      <c r="D97" s="21"/>
      <c r="E97" s="21"/>
      <c r="F97" s="21"/>
      <c r="G97" s="21"/>
      <c r="H97" s="21"/>
      <c r="I97" s="175"/>
      <c r="J97" s="21"/>
      <c r="K97" s="21"/>
      <c r="L97" s="21"/>
      <c r="M97" s="21"/>
      <c r="N97" s="21"/>
      <c r="O97" s="21"/>
    </row>
    <row r="98" spans="1:30">
      <c r="B98" s="597"/>
      <c r="C98" s="50"/>
      <c r="D98" s="50"/>
      <c r="E98" s="50"/>
    </row>
    <row r="99" spans="1:30">
      <c r="A99" s="33" t="s">
        <v>1375</v>
      </c>
      <c r="B99" s="111"/>
      <c r="C99" s="111"/>
      <c r="D99" s="111"/>
      <c r="E99" s="111"/>
      <c r="F99" s="111"/>
      <c r="G99" s="111"/>
      <c r="H99" s="111"/>
      <c r="I99" s="111"/>
      <c r="J99" s="111"/>
      <c r="K99" s="111"/>
      <c r="L99" s="111"/>
      <c r="M99" s="111"/>
      <c r="N99" s="115"/>
      <c r="Q99" s="670" t="s">
        <v>1394</v>
      </c>
      <c r="R99" s="686"/>
      <c r="S99" s="687"/>
      <c r="T99" s="687"/>
      <c r="U99" s="687"/>
      <c r="V99" s="111"/>
      <c r="W99" s="111"/>
      <c r="X99" s="111"/>
      <c r="Y99" s="111"/>
      <c r="Z99" s="111"/>
      <c r="AA99" s="111"/>
      <c r="AB99" s="111"/>
      <c r="AC99" s="111"/>
      <c r="AD99" s="115"/>
    </row>
    <row r="100" spans="1:30" ht="36">
      <c r="A100" s="226"/>
      <c r="B100" s="175"/>
      <c r="C100" s="227" t="s">
        <v>741</v>
      </c>
      <c r="D100" s="227" t="s">
        <v>742</v>
      </c>
      <c r="E100" s="227" t="s">
        <v>743</v>
      </c>
      <c r="F100" s="227" t="s">
        <v>744</v>
      </c>
      <c r="G100" s="227" t="s">
        <v>745</v>
      </c>
      <c r="H100" s="228"/>
      <c r="I100" s="228"/>
      <c r="J100" s="229"/>
      <c r="K100" s="230"/>
      <c r="L100" s="477"/>
      <c r="M100" s="231"/>
      <c r="N100" s="232"/>
      <c r="Q100" s="124" t="s">
        <v>1395</v>
      </c>
      <c r="R100" s="651"/>
      <c r="S100" s="126"/>
      <c r="T100" s="126"/>
      <c r="U100" s="126"/>
      <c r="V100" s="21"/>
      <c r="W100" s="21"/>
      <c r="X100" s="21"/>
      <c r="Y100" s="21"/>
      <c r="Z100" s="21"/>
      <c r="AA100" s="21"/>
      <c r="AB100" s="21"/>
      <c r="AC100" s="21"/>
      <c r="AD100" s="113"/>
    </row>
    <row r="101" spans="1:30" ht="31.5">
      <c r="A101" s="226"/>
      <c r="B101" s="175"/>
      <c r="C101" s="175"/>
      <c r="D101" s="175"/>
      <c r="E101" s="229"/>
      <c r="F101" s="229"/>
      <c r="G101" s="229"/>
      <c r="H101" s="228"/>
      <c r="I101" s="233" t="s">
        <v>669</v>
      </c>
      <c r="J101" s="233"/>
      <c r="K101" s="234" t="s">
        <v>746</v>
      </c>
      <c r="L101" s="229" t="s">
        <v>747</v>
      </c>
      <c r="M101" s="230" t="s">
        <v>748</v>
      </c>
      <c r="N101" s="235" t="s">
        <v>749</v>
      </c>
      <c r="Q101" s="125" t="s">
        <v>814</v>
      </c>
      <c r="R101" s="651"/>
      <c r="S101" s="126"/>
      <c r="T101" s="126"/>
      <c r="U101" s="126"/>
      <c r="V101" s="21"/>
      <c r="W101" s="21"/>
      <c r="X101" s="21"/>
      <c r="Y101" s="21"/>
      <c r="Z101" s="21"/>
      <c r="AA101" s="21"/>
      <c r="AB101" s="21"/>
      <c r="AC101" s="21"/>
      <c r="AD101" s="113"/>
    </row>
    <row r="102" spans="1:30" ht="15.75">
      <c r="A102" s="112" t="s">
        <v>819</v>
      </c>
      <c r="B102" s="175"/>
      <c r="C102" s="247">
        <f>IFERROR(IF(K24=Fuel!$G$28,$F$94*(J24/100)/(H24/100),0),0)</f>
        <v>0</v>
      </c>
      <c r="D102" s="247">
        <f>IFERROR(IF(K24=Fuel!$G$28,0,$F$94*(J24/100)/(H24/100)),0)</f>
        <v>0</v>
      </c>
      <c r="E102" s="234">
        <f>IF(VLOOKUP(C24,Fuel!$C$4:$I$25,7,FALSE),D102,0)</f>
        <v>0</v>
      </c>
      <c r="F102" s="234">
        <f>IF(VLOOKUP(C24,Fuel!$C$4:$K$25,8,FALSE),D102,0)</f>
        <v>0</v>
      </c>
      <c r="G102" s="234">
        <f>IF(VLOOKUP(C24,Fuel!$C$4:$K$25,9,FALSE),D102,0)</f>
        <v>0</v>
      </c>
      <c r="H102" s="228"/>
      <c r="I102" s="293" t="s">
        <v>750</v>
      </c>
      <c r="J102" s="169">
        <f>IF(OR(A26="Heat Pump",A26="Exhaust Air Heat Pump"),1,0)</f>
        <v>1</v>
      </c>
      <c r="K102" s="294">
        <f>IF(J102,HP!F115,0)</f>
        <v>225</v>
      </c>
      <c r="L102" s="295">
        <f>IF(J102,(HP!D115*(HP!B7/HP!B8)),0)</f>
        <v>0</v>
      </c>
      <c r="M102" s="295">
        <f>IFERROR(IF(J102,L102/(K102/100),0),0)</f>
        <v>0</v>
      </c>
      <c r="N102" s="211">
        <f>(L102-M102)*P25</f>
        <v>0</v>
      </c>
      <c r="Q102" s="125"/>
      <c r="R102" s="651"/>
      <c r="S102" s="126"/>
      <c r="T102" s="126"/>
      <c r="U102" s="126"/>
      <c r="V102" s="22"/>
      <c r="W102" s="22"/>
      <c r="X102" s="22"/>
      <c r="Y102" s="22"/>
      <c r="Z102" s="21"/>
      <c r="AA102" s="21"/>
      <c r="AB102" s="21"/>
      <c r="AC102" s="21"/>
      <c r="AD102" s="113"/>
    </row>
    <row r="103" spans="1:30" ht="15.75">
      <c r="A103" s="112" t="s">
        <v>820</v>
      </c>
      <c r="B103" s="175"/>
      <c r="C103" s="247">
        <f>IFERROR(IF(K25=Fuel!$G$28,$F$94*(J25/100)/(H25/100),0),0)</f>
        <v>0</v>
      </c>
      <c r="D103" s="247">
        <f>IFERROR(IF(K25=Fuel!$G$28,0,$F$94*(J25/100)/(H25/100)),0)</f>
        <v>0</v>
      </c>
      <c r="E103" s="234">
        <f>IF(VLOOKUP(C25,Fuel!$C$4:$I$25,7,FALSE),D103,0)</f>
        <v>0</v>
      </c>
      <c r="F103" s="234">
        <f>IF(VLOOKUP(C25,Fuel!$C$4:$K$25,8,FALSE),D103,0)</f>
        <v>0</v>
      </c>
      <c r="G103" s="234">
        <f>IF(VLOOKUP(C25,Fuel!$C$4:$K$25,9,FALSE),D103,0)</f>
        <v>0</v>
      </c>
      <c r="H103" s="228"/>
      <c r="I103" s="293" t="s">
        <v>1370</v>
      </c>
      <c r="J103" s="169">
        <f>IF(OR(A27="Heat Pump",A27="Exhaust Air Heat Pump"),1,0)</f>
        <v>1</v>
      </c>
      <c r="K103" s="294">
        <f>IF(J103,HP!F116,0)</f>
        <v>150</v>
      </c>
      <c r="L103" s="295">
        <f>IF(J103,(HP!D116*(HP!B7/HP!B8)),0)</f>
        <v>0</v>
      </c>
      <c r="M103" s="295">
        <f>IFERROR(IF(J103,L103/(K103/100),0),0)</f>
        <v>0</v>
      </c>
      <c r="N103" s="211">
        <f>(L103-M103)*S25</f>
        <v>0</v>
      </c>
      <c r="Q103" s="135" t="s">
        <v>815</v>
      </c>
      <c r="R103" s="651"/>
      <c r="S103" s="126"/>
      <c r="T103" s="126"/>
      <c r="U103" s="126"/>
      <c r="V103" s="56">
        <f>F94</f>
        <v>0</v>
      </c>
      <c r="W103" s="22"/>
      <c r="X103" s="22"/>
      <c r="Y103" s="22"/>
      <c r="Z103" s="21"/>
      <c r="AA103" s="21"/>
      <c r="AB103" s="21"/>
      <c r="AC103" s="21"/>
      <c r="AD103" s="113"/>
    </row>
    <row r="104" spans="1:30" ht="18.75" customHeight="1">
      <c r="A104" s="112" t="s">
        <v>1371</v>
      </c>
      <c r="C104" s="247">
        <f>IFERROR(IF(K26=Fuel!$G$28,$F$94*(J26/100)/(P23/100),0),0)</f>
        <v>0</v>
      </c>
      <c r="D104" s="247">
        <f>IFERROR(IF(K26=Fuel!$G$28,0,$F$94*(J26/100)/(P23/100)),0)</f>
        <v>0</v>
      </c>
      <c r="E104" s="234">
        <f>IF(VLOOKUP(C26,Fuel!$C$4:$I$25,7,FALSE),D104,0)</f>
        <v>0</v>
      </c>
      <c r="F104" s="234">
        <f>IF(VLOOKUP(C26,Fuel!$C$4:$K$25,8,FALSE),D104,0)</f>
        <v>0</v>
      </c>
      <c r="G104" s="234">
        <f>IF(VLOOKUP(C26,Fuel!$C$4:$K$25,9,FALSE),D104,0)</f>
        <v>0</v>
      </c>
      <c r="H104" s="228"/>
      <c r="I104" s="296"/>
      <c r="J104" s="246"/>
      <c r="K104" s="297"/>
      <c r="L104" s="298"/>
      <c r="M104" s="298"/>
      <c r="N104" s="257"/>
      <c r="Q104" s="249" t="s">
        <v>816</v>
      </c>
      <c r="R104" s="651"/>
      <c r="S104" s="126"/>
      <c r="T104" s="126"/>
      <c r="U104" s="126"/>
      <c r="V104" s="56">
        <f>F95</f>
        <v>0</v>
      </c>
      <c r="W104" s="22"/>
      <c r="X104" s="56"/>
      <c r="Y104" s="22"/>
      <c r="Z104" s="21"/>
      <c r="AA104" s="21"/>
      <c r="AB104" s="21"/>
      <c r="AC104" s="21"/>
      <c r="AD104" s="113"/>
    </row>
    <row r="105" spans="1:30" ht="15.75">
      <c r="A105" s="112" t="s">
        <v>1372</v>
      </c>
      <c r="B105" s="175"/>
      <c r="C105" s="247">
        <f>IFERROR(IF(K27=Fuel!$G$28,$F$94*(J27/100)/(S23/100),0),0)</f>
        <v>0</v>
      </c>
      <c r="D105" s="247">
        <f>IFERROR(IF(K27=Fuel!$G$28,0,$F$94*(J27/100)/(S23/100)),0)</f>
        <v>0</v>
      </c>
      <c r="E105" s="234">
        <f>IF(VLOOKUP(C27,Fuel!$C$4:$I$25,7,FALSE),D105,0)</f>
        <v>0</v>
      </c>
      <c r="F105" s="234">
        <f>IF(VLOOKUP(C27,Fuel!$C$4:$K$25,8,FALSE),D105,0)</f>
        <v>0</v>
      </c>
      <c r="G105" s="234">
        <f>IF(VLOOKUP(C27,Fuel!$C$4:$K$25,9,FALSE),D105,0)</f>
        <v>0</v>
      </c>
      <c r="H105" s="228"/>
      <c r="I105" s="296"/>
      <c r="J105" s="246"/>
      <c r="K105" s="297"/>
      <c r="L105" s="298"/>
      <c r="M105" s="298"/>
      <c r="N105" s="257"/>
      <c r="Q105" s="236" t="s">
        <v>818</v>
      </c>
      <c r="R105" s="21"/>
      <c r="S105" s="21"/>
      <c r="T105" s="21"/>
      <c r="U105" s="21"/>
      <c r="V105" s="21"/>
      <c r="W105" s="21"/>
      <c r="X105" s="21"/>
      <c r="Y105" s="175"/>
      <c r="Z105" s="21"/>
      <c r="AA105" s="21"/>
      <c r="AB105" s="21"/>
      <c r="AC105" s="21"/>
      <c r="AD105" s="113"/>
    </row>
    <row r="106" spans="1:30" ht="15.75">
      <c r="A106" s="112" t="s">
        <v>821</v>
      </c>
      <c r="B106" s="175"/>
      <c r="C106" s="247"/>
      <c r="D106" s="247">
        <f>$F$94*(J28/100)</f>
        <v>0</v>
      </c>
      <c r="E106" s="234"/>
      <c r="F106" s="234"/>
      <c r="G106" s="234"/>
      <c r="H106" s="228"/>
      <c r="I106" s="233" t="s">
        <v>753</v>
      </c>
      <c r="J106" s="228"/>
      <c r="K106" s="297"/>
      <c r="L106" s="233" t="s">
        <v>753</v>
      </c>
      <c r="M106" s="228"/>
      <c r="N106" s="257"/>
      <c r="Q106" s="112"/>
      <c r="R106" s="21"/>
      <c r="S106" s="21"/>
      <c r="T106" s="21"/>
      <c r="U106" s="21"/>
      <c r="V106" s="21"/>
      <c r="W106" s="21"/>
      <c r="X106" s="21"/>
      <c r="Y106" s="175"/>
      <c r="Z106" s="21"/>
      <c r="AA106" s="21"/>
      <c r="AB106" s="21"/>
      <c r="AC106" s="21"/>
      <c r="AD106" s="113"/>
    </row>
    <row r="107" spans="1:30" ht="20.25" customHeight="1">
      <c r="A107" s="236" t="s">
        <v>706</v>
      </c>
      <c r="B107" s="175"/>
      <c r="C107" s="247">
        <f>IF(D56=Fuel!$G$28,E76,0)</f>
        <v>0</v>
      </c>
      <c r="D107" s="247">
        <f>IF(D56=Fuel!$G$28,0,E76)</f>
        <v>0</v>
      </c>
      <c r="E107" s="234">
        <f>IF(VLOOKUP(D56,Fuel!$C$4:$I$25,7,FALSE),D107,0)</f>
        <v>0</v>
      </c>
      <c r="F107" s="234">
        <f>IF(VLOOKUP(D56,Fuel!$C$4:$K$25,8,FALSE),D107,0)</f>
        <v>0</v>
      </c>
      <c r="G107" s="234">
        <f>IF(VLOOKUP(D56,Fuel!$C$4:$K$25,9,FALSE),D107,0)</f>
        <v>0</v>
      </c>
      <c r="H107" s="228"/>
      <c r="I107" s="228" t="s">
        <v>754</v>
      </c>
      <c r="J107" s="248">
        <f>E81</f>
        <v>0</v>
      </c>
      <c r="K107" s="297"/>
      <c r="L107" s="228" t="s">
        <v>688</v>
      </c>
      <c r="M107" s="248">
        <f>IFERROR((F95/L36)*L35,0)</f>
        <v>0</v>
      </c>
      <c r="N107" s="257"/>
      <c r="Q107" s="125"/>
      <c r="R107" s="296"/>
      <c r="S107" s="296"/>
      <c r="T107" s="296"/>
      <c r="U107" s="673"/>
      <c r="V107" s="175"/>
      <c r="W107" s="673" t="s">
        <v>1378</v>
      </c>
      <c r="X107" s="175"/>
      <c r="Y107" s="175"/>
      <c r="Z107" s="673" t="s">
        <v>1379</v>
      </c>
      <c r="AA107" s="673"/>
      <c r="AB107" s="175" t="s">
        <v>1380</v>
      </c>
      <c r="AC107" s="21"/>
      <c r="AD107" s="113"/>
    </row>
    <row r="108" spans="1:30" ht="15" customHeight="1">
      <c r="A108" s="112" t="s">
        <v>766</v>
      </c>
      <c r="B108" s="175"/>
      <c r="C108" s="247" t="s">
        <v>2</v>
      </c>
      <c r="D108" s="247">
        <f>IF(J33=1,F95/L36,0)</f>
        <v>0</v>
      </c>
      <c r="E108" s="234">
        <f>IF(VLOOKUP(G37,Fuel!$C$4:$I$25,7,FALSE),D108,0)</f>
        <v>0</v>
      </c>
      <c r="F108" s="234">
        <f>IF(VLOOKUP(G37,Fuel!$C$4:$K$25,8,FALSE),D108,0)</f>
        <v>0</v>
      </c>
      <c r="G108" s="234">
        <f>IF(VLOOKUP(G37,Fuel!$C$4:$K$25,9,FALSE),D108,0)</f>
        <v>0</v>
      </c>
      <c r="H108" s="228"/>
      <c r="I108" s="296"/>
      <c r="J108" s="246"/>
      <c r="K108" s="297"/>
      <c r="L108" s="298"/>
      <c r="M108" s="298"/>
      <c r="N108" s="257"/>
      <c r="Q108" s="112"/>
      <c r="R108" s="296"/>
      <c r="S108" s="296"/>
      <c r="T108" s="296"/>
      <c r="U108" s="673"/>
      <c r="V108" s="175"/>
      <c r="W108" s="673" t="s">
        <v>1381</v>
      </c>
      <c r="X108" s="175"/>
      <c r="Y108" s="175"/>
      <c r="Z108" s="673" t="s">
        <v>640</v>
      </c>
      <c r="AA108" s="673" t="s">
        <v>830</v>
      </c>
      <c r="AB108" s="175" t="s">
        <v>1382</v>
      </c>
      <c r="AC108" s="21"/>
      <c r="AD108" s="113"/>
    </row>
    <row r="109" spans="1:30" ht="15.75">
      <c r="A109" s="112" t="s">
        <v>822</v>
      </c>
      <c r="B109" s="175"/>
      <c r="C109" s="247"/>
      <c r="D109" s="247">
        <f>IF(J33=2,F96,0)</f>
        <v>0</v>
      </c>
      <c r="E109" s="234"/>
      <c r="F109" s="234"/>
      <c r="G109" s="234"/>
      <c r="H109" s="229"/>
      <c r="I109" s="233" t="s">
        <v>756</v>
      </c>
      <c r="J109" s="228"/>
      <c r="K109" s="228"/>
      <c r="L109" s="258" t="s">
        <v>757</v>
      </c>
      <c r="M109" s="230"/>
      <c r="N109" s="232"/>
      <c r="Q109" s="112" t="s">
        <v>819</v>
      </c>
      <c r="R109" s="296"/>
      <c r="S109" s="296"/>
      <c r="T109" s="296"/>
      <c r="U109" s="673"/>
      <c r="V109" s="175"/>
      <c r="W109" s="673">
        <f>IF(SUM(E112:G112)&gt;1,1,0)</f>
        <v>0</v>
      </c>
      <c r="X109" s="11"/>
      <c r="Y109" s="21"/>
      <c r="Z109" s="604">
        <f>IF(W109,SUM(E102:G105),0)</f>
        <v>0</v>
      </c>
      <c r="AA109" s="674">
        <f t="shared" ref="AA109:AA115" si="3">IF(tfa,Z109/tfa,0)</f>
        <v>0</v>
      </c>
      <c r="AB109" s="175">
        <v>1</v>
      </c>
      <c r="AC109" s="21"/>
      <c r="AD109" s="113"/>
    </row>
    <row r="110" spans="1:30" ht="15.75">
      <c r="A110" s="236" t="s">
        <v>709</v>
      </c>
      <c r="B110" s="175"/>
      <c r="C110" s="247">
        <f>E79</f>
        <v>53.097642798099116</v>
      </c>
      <c r="D110" s="247">
        <v>0</v>
      </c>
      <c r="E110" s="234" t="s">
        <v>2</v>
      </c>
      <c r="F110" s="229"/>
      <c r="G110" s="229"/>
      <c r="H110" s="228"/>
      <c r="I110" s="228" t="s">
        <v>96</v>
      </c>
      <c r="J110" s="248">
        <f>E82+E85+E88-E83-E86-E89</f>
        <v>0</v>
      </c>
      <c r="K110" s="230"/>
      <c r="L110" s="477">
        <f>IF(F95&gt;0, (F95*((1.1/0.9)+((L35*Fuel!G28)/(L36))-(1.1/L36))),0)</f>
        <v>0</v>
      </c>
      <c r="M110" s="231"/>
      <c r="N110" s="232"/>
      <c r="Q110" s="112" t="s">
        <v>1396</v>
      </c>
      <c r="R110" s="296"/>
      <c r="S110" s="296"/>
      <c r="T110" s="296"/>
      <c r="U110" s="673"/>
      <c r="V110" s="175"/>
      <c r="W110" s="673">
        <f>IF(OR(A26="Heat Pump",A26="Exhaust Air Heat Pump"),IF(H26&gt;250,1,0),0)</f>
        <v>0</v>
      </c>
      <c r="X110" s="11"/>
      <c r="Y110" s="21"/>
      <c r="Z110" s="604">
        <f>IF(W110,$V$103*(J26/100)*(1-250/H26),0)</f>
        <v>0</v>
      </c>
      <c r="AA110" s="674">
        <f t="shared" si="3"/>
        <v>0</v>
      </c>
      <c r="AB110" s="175">
        <v>1</v>
      </c>
      <c r="AC110" s="21"/>
      <c r="AD110" s="113"/>
    </row>
    <row r="111" spans="1:30" ht="15.75">
      <c r="A111" s="236" t="s">
        <v>710</v>
      </c>
      <c r="B111" s="175"/>
      <c r="C111" s="247">
        <f>E80</f>
        <v>246.51445106940128</v>
      </c>
      <c r="D111" s="247">
        <v>0</v>
      </c>
      <c r="E111" s="234" t="s">
        <v>2</v>
      </c>
      <c r="F111" s="229"/>
      <c r="G111" s="229"/>
      <c r="H111" s="228"/>
      <c r="I111" s="228"/>
      <c r="J111" s="229"/>
      <c r="K111" s="230"/>
      <c r="L111" s="477"/>
      <c r="M111" s="231"/>
      <c r="N111" s="232"/>
      <c r="Q111" s="112" t="s">
        <v>1396</v>
      </c>
      <c r="R111" s="296"/>
      <c r="S111" s="296"/>
      <c r="T111" s="296"/>
      <c r="U111" s="673"/>
      <c r="V111" s="175"/>
      <c r="W111" s="673">
        <f>IF(OR(A27="Heat Pump",A27="Exhaust Air Heat Pump"),IF(H27&gt;250,1,0),0)</f>
        <v>0</v>
      </c>
      <c r="X111" s="11"/>
      <c r="Y111" s="21"/>
      <c r="Z111" s="604">
        <f>IF(W111,$V$103*(J27/100)*(1-250/H27),0)</f>
        <v>0</v>
      </c>
      <c r="AA111" s="674">
        <f t="shared" si="3"/>
        <v>0</v>
      </c>
      <c r="AB111" s="175">
        <v>1</v>
      </c>
      <c r="AC111" s="21"/>
      <c r="AD111" s="113"/>
    </row>
    <row r="112" spans="1:30" ht="15.75">
      <c r="A112" s="237" t="s">
        <v>758</v>
      </c>
      <c r="B112" s="552"/>
      <c r="C112" s="238">
        <f>SUM(C102:C111)</f>
        <v>299.61209386750039</v>
      </c>
      <c r="D112" s="238">
        <f>SUM(D102:D111)</f>
        <v>0</v>
      </c>
      <c r="E112" s="238">
        <f>SUM(E102:E111)</f>
        <v>0</v>
      </c>
      <c r="F112" s="238">
        <f>SUM(F102:F111)</f>
        <v>0</v>
      </c>
      <c r="G112" s="238">
        <f>SUM(G102:G111)</f>
        <v>0</v>
      </c>
      <c r="H112" s="239"/>
      <c r="I112" s="239"/>
      <c r="J112" s="240"/>
      <c r="K112" s="241"/>
      <c r="L112" s="242"/>
      <c r="M112" s="243"/>
      <c r="N112" s="244"/>
      <c r="Q112" s="112" t="s">
        <v>821</v>
      </c>
      <c r="R112" s="296"/>
      <c r="S112" s="296"/>
      <c r="T112" s="296"/>
      <c r="U112" s="673"/>
      <c r="V112" s="175"/>
      <c r="W112" s="673">
        <f>IF(J28&gt;0,1,0)</f>
        <v>0</v>
      </c>
      <c r="X112" s="11"/>
      <c r="Y112" s="21"/>
      <c r="Z112" s="604">
        <f>IF(W112,$V$103*(J28/100),0)</f>
        <v>0</v>
      </c>
      <c r="AA112" s="674">
        <f>IF(tfa,Z112/tfa,0)</f>
        <v>0</v>
      </c>
      <c r="AB112" s="296">
        <v>1</v>
      </c>
      <c r="AC112" s="21"/>
      <c r="AD112" s="113"/>
    </row>
    <row r="113" spans="1:30">
      <c r="B113" s="597"/>
      <c r="C113" s="50"/>
      <c r="D113" s="50"/>
      <c r="E113" s="50"/>
      <c r="Q113" s="541" t="s">
        <v>1397</v>
      </c>
      <c r="R113" s="296"/>
      <c r="S113" s="296"/>
      <c r="T113" s="296"/>
      <c r="U113" s="673"/>
      <c r="V113" s="175"/>
      <c r="W113" s="673">
        <f>VLOOKUP(D56,Fuel!$C$4:$I$25,7,FALSE)</f>
        <v>0</v>
      </c>
      <c r="X113" s="11"/>
      <c r="Y113" s="21"/>
      <c r="Z113" s="604">
        <f>IF(W113,AA15*(AA14/100),0)</f>
        <v>0</v>
      </c>
      <c r="AA113" s="674">
        <f t="shared" si="3"/>
        <v>0</v>
      </c>
      <c r="AB113" s="296">
        <v>1</v>
      </c>
      <c r="AC113" s="21"/>
      <c r="AD113" s="113"/>
    </row>
    <row r="114" spans="1:30">
      <c r="A114" s="13" t="s">
        <v>78</v>
      </c>
      <c r="Q114" s="125" t="s">
        <v>1385</v>
      </c>
      <c r="R114" s="296"/>
      <c r="S114" s="296"/>
      <c r="T114" s="296"/>
      <c r="U114" s="673"/>
      <c r="V114" s="175"/>
      <c r="W114" s="673">
        <f>IF(AND(I56=Fuel!H18,K7&gt;250),1,0)</f>
        <v>0</v>
      </c>
      <c r="X114" s="11"/>
      <c r="Y114" s="21"/>
      <c r="Z114" s="604">
        <f>IF(W114,(K7/100-2.5)*K8,0)</f>
        <v>0</v>
      </c>
      <c r="AA114" s="674">
        <f t="shared" si="3"/>
        <v>0</v>
      </c>
      <c r="AB114" s="296">
        <v>1</v>
      </c>
      <c r="AC114" s="21"/>
      <c r="AD114" s="113"/>
    </row>
    <row r="115" spans="1:30">
      <c r="A115" s="13" t="s">
        <v>823</v>
      </c>
      <c r="Q115" s="125" t="s">
        <v>1398</v>
      </c>
      <c r="R115" s="296"/>
      <c r="S115" s="296"/>
      <c r="T115" s="296"/>
      <c r="U115" s="673"/>
      <c r="V115" s="175"/>
      <c r="W115" s="673">
        <f>WH!G33</f>
        <v>0</v>
      </c>
      <c r="X115" s="11"/>
      <c r="Y115" s="21"/>
      <c r="Z115" s="604">
        <f>IF(W115,WH!G36,0)</f>
        <v>0</v>
      </c>
      <c r="AA115" s="674">
        <f t="shared" si="3"/>
        <v>0</v>
      </c>
      <c r="AB115" s="296">
        <v>1</v>
      </c>
      <c r="AC115" s="21"/>
      <c r="AD115" s="113"/>
    </row>
    <row r="116" spans="1:30">
      <c r="A116" s="13" t="s">
        <v>824</v>
      </c>
      <c r="E116" s="13" t="s">
        <v>825</v>
      </c>
      <c r="Q116" s="125" t="s">
        <v>766</v>
      </c>
      <c r="R116" s="296"/>
      <c r="S116" s="296"/>
      <c r="T116" s="296"/>
      <c r="U116" s="673"/>
      <c r="V116" s="540"/>
      <c r="W116" s="673">
        <f>IF(J33=1,1,0)</f>
        <v>0</v>
      </c>
      <c r="X116" s="540"/>
      <c r="Y116" s="556"/>
      <c r="Z116" s="212">
        <f>IF(D151&gt;0,D151,0)</f>
        <v>0</v>
      </c>
      <c r="AA116" s="674">
        <f>IF(tfa,Z116/tfa,0)</f>
        <v>0</v>
      </c>
      <c r="AB116" s="296">
        <v>1</v>
      </c>
      <c r="AC116" s="21"/>
      <c r="AD116" s="113"/>
    </row>
    <row r="117" spans="1:30" ht="38.25">
      <c r="A117" s="13" t="str">
        <f>Fuel!C23</f>
        <v>-</v>
      </c>
      <c r="E117" s="13" t="str">
        <f>Fuel!C23</f>
        <v>-</v>
      </c>
      <c r="Q117" s="125" t="s">
        <v>983</v>
      </c>
      <c r="R117" s="296"/>
      <c r="S117" s="296"/>
      <c r="T117" s="296"/>
      <c r="U117" s="673"/>
      <c r="V117" s="540"/>
      <c r="W117" s="673" t="s">
        <v>319</v>
      </c>
      <c r="X117" s="540"/>
      <c r="Y117" s="556"/>
      <c r="Z117" s="675" t="s">
        <v>984</v>
      </c>
      <c r="AA117" s="673"/>
      <c r="AB117" s="175"/>
      <c r="AC117" s="21"/>
      <c r="AD117" s="113"/>
    </row>
    <row r="118" spans="1:30">
      <c r="A118" s="14" t="str">
        <f>Fuel!C4</f>
        <v>mains gas</v>
      </c>
      <c r="E118" s="14" t="str">
        <f>Fuel!C4</f>
        <v>mains gas</v>
      </c>
      <c r="Q118" s="236" t="s">
        <v>713</v>
      </c>
      <c r="R118" s="296" t="str">
        <f>IF(ISBLANK(T69),"-",T69)</f>
        <v>-</v>
      </c>
      <c r="S118" s="296"/>
      <c r="T118" s="296"/>
      <c r="U118" s="673"/>
      <c r="V118" s="540"/>
      <c r="W118" s="852" t="s">
        <v>762</v>
      </c>
      <c r="X118" s="853"/>
      <c r="Y118" s="676"/>
      <c r="Z118" s="677"/>
      <c r="AA118" s="674">
        <f>IF(tfa,Z118/tfa,0)</f>
        <v>0</v>
      </c>
      <c r="AB118" s="678">
        <f>VLOOKUP(W118,$A$146:$C$148,3,FALSE)</f>
        <v>0</v>
      </c>
      <c r="AC118" s="21"/>
      <c r="AD118" s="113"/>
    </row>
    <row r="119" spans="1:30">
      <c r="A119" s="14" t="str">
        <f>Fuel!C5</f>
        <v>bulk LPG (propane or butane)</v>
      </c>
      <c r="E119" s="14" t="str">
        <f>Fuel!C5</f>
        <v>bulk LPG (propane or butane)</v>
      </c>
      <c r="Q119" s="236" t="s">
        <v>719</v>
      </c>
      <c r="R119" s="296" t="str">
        <f>IF(ISBLANK(T72),"-",T72)</f>
        <v>-</v>
      </c>
      <c r="S119" s="296"/>
      <c r="T119" s="296"/>
      <c r="U119" s="673"/>
      <c r="V119" s="540"/>
      <c r="W119" s="852" t="s">
        <v>762</v>
      </c>
      <c r="X119" s="853"/>
      <c r="Y119" s="540"/>
      <c r="Z119" s="677"/>
      <c r="AA119" s="674">
        <f>IF(tfa,Z119/tfa,0)</f>
        <v>0</v>
      </c>
      <c r="AB119" s="678">
        <f>VLOOKUP(W119,$A$146:$C$148,3,FALSE)</f>
        <v>0</v>
      </c>
      <c r="AC119" s="21"/>
      <c r="AD119" s="113"/>
    </row>
    <row r="120" spans="1:30">
      <c r="A120" s="14" t="str">
        <f>Fuel!C7</f>
        <v>heating oil</v>
      </c>
      <c r="E120" s="14" t="str">
        <f>Fuel!C6</f>
        <v>bottled LPG</v>
      </c>
      <c r="Q120" s="236" t="s">
        <v>723</v>
      </c>
      <c r="R120" s="296" t="str">
        <f>IF(ISBLANK(T75),"-",T75)</f>
        <v>-</v>
      </c>
      <c r="S120" s="296"/>
      <c r="T120" s="296"/>
      <c r="U120" s="673"/>
      <c r="V120" s="540"/>
      <c r="W120" s="852" t="s">
        <v>762</v>
      </c>
      <c r="X120" s="853"/>
      <c r="Y120" s="540"/>
      <c r="Z120" s="677"/>
      <c r="AA120" s="674">
        <f>IF(tfa,Z120/tfa,0)</f>
        <v>0</v>
      </c>
      <c r="AB120" s="678">
        <f>VLOOKUP(W120,$A$146:$C$148,3,FALSE)</f>
        <v>0</v>
      </c>
      <c r="AC120" s="21"/>
      <c r="AD120" s="113"/>
    </row>
    <row r="121" spans="1:30">
      <c r="A121" s="14" t="str">
        <f>Fuel!C8</f>
        <v>house coal</v>
      </c>
      <c r="E121" s="14" t="str">
        <f>Fuel!C7</f>
        <v>heating oil</v>
      </c>
      <c r="Q121" s="249"/>
      <c r="R121" s="21"/>
      <c r="S121" s="21"/>
      <c r="T121" s="21"/>
      <c r="U121" s="21"/>
      <c r="V121" s="21"/>
      <c r="W121" s="21"/>
      <c r="X121" s="21"/>
      <c r="Y121" s="21"/>
      <c r="Z121" s="21"/>
      <c r="AA121" s="688"/>
      <c r="AB121" s="175"/>
      <c r="AC121" s="21"/>
      <c r="AD121" s="113"/>
    </row>
    <row r="122" spans="1:30">
      <c r="A122" s="14" t="str">
        <f>Fuel!C9</f>
        <v>anthracite</v>
      </c>
      <c r="E122" s="14" t="str">
        <f>Fuel!C8</f>
        <v>house coal</v>
      </c>
      <c r="Q122" s="249"/>
      <c r="R122" s="673" t="s">
        <v>1390</v>
      </c>
      <c r="S122" s="296"/>
      <c r="T122" s="296"/>
      <c r="U122" s="175"/>
      <c r="V122" s="175"/>
      <c r="W122" s="673"/>
      <c r="X122" s="175"/>
      <c r="Y122" s="175"/>
      <c r="Z122" s="673"/>
      <c r="AA122" s="680">
        <f>SUMIF(AB109:AB120,1,AA109:AA120)</f>
        <v>0</v>
      </c>
      <c r="AB122" s="175"/>
      <c r="AC122" s="175"/>
      <c r="AD122" s="113"/>
    </row>
    <row r="123" spans="1:30">
      <c r="A123" s="14" t="str">
        <f>Fuel!C10</f>
        <v>manufactured smokeless fuel</v>
      </c>
      <c r="E123" s="14" t="str">
        <f>Fuel!C9</f>
        <v>anthracite</v>
      </c>
      <c r="Q123" s="249"/>
      <c r="R123" s="673" t="s">
        <v>1391</v>
      </c>
      <c r="S123" s="296"/>
      <c r="T123" s="296"/>
      <c r="U123" s="175"/>
      <c r="V123" s="673"/>
      <c r="W123" s="673"/>
      <c r="X123" s="673"/>
      <c r="Y123" s="175"/>
      <c r="Z123" s="175"/>
      <c r="AA123" s="688">
        <f>SUMIF(AB109:AB120,2,AA109:AA120)</f>
        <v>0</v>
      </c>
      <c r="AB123" s="175"/>
      <c r="AC123" s="175"/>
      <c r="AD123" s="113"/>
    </row>
    <row r="124" spans="1:30">
      <c r="A124" s="14" t="str">
        <f>Fuel!C11</f>
        <v>peat briquettes</v>
      </c>
      <c r="E124" s="14" t="str">
        <f>Fuel!C10</f>
        <v>manufactured smokeless fuel</v>
      </c>
      <c r="Q124" s="249"/>
      <c r="R124" s="673" t="s">
        <v>1392</v>
      </c>
      <c r="S124" s="296"/>
      <c r="T124" s="296"/>
      <c r="U124" s="175"/>
      <c r="V124" s="673"/>
      <c r="W124" s="673"/>
      <c r="X124" s="673"/>
      <c r="Y124" s="175"/>
      <c r="Z124" s="175"/>
      <c r="AA124" s="681">
        <f>AA122+AA123*2.5</f>
        <v>0</v>
      </c>
      <c r="AB124" s="175"/>
      <c r="AC124" s="175"/>
      <c r="AD124" s="113"/>
    </row>
    <row r="125" spans="1:30">
      <c r="A125" s="14" t="str">
        <f>Fuel!C12</f>
        <v>sod peat</v>
      </c>
      <c r="E125" s="14" t="str">
        <f>Fuel!C11</f>
        <v>peat briquettes</v>
      </c>
      <c r="Q125" s="112"/>
      <c r="R125" s="673" t="s">
        <v>1393</v>
      </c>
      <c r="S125" s="296"/>
      <c r="T125" s="296"/>
      <c r="U125" s="673"/>
      <c r="V125" s="673"/>
      <c r="W125" s="673"/>
      <c r="X125" s="673"/>
      <c r="Y125" s="175"/>
      <c r="Z125" s="175"/>
      <c r="AA125" s="548" t="str">
        <f>IF(AA124&gt;=10,"Complies","Does not comply")</f>
        <v>Does not comply</v>
      </c>
      <c r="AB125" s="21"/>
      <c r="AC125" s="21"/>
      <c r="AD125" s="113"/>
    </row>
    <row r="126" spans="1:30">
      <c r="A126" s="14" t="str">
        <f>Fuel!C13</f>
        <v>wood logs</v>
      </c>
      <c r="E126" s="14" t="str">
        <f>Fuel!C12</f>
        <v>sod peat</v>
      </c>
      <c r="Q126" s="112"/>
      <c r="R126" s="651"/>
      <c r="S126" s="126"/>
      <c r="T126" s="126"/>
      <c r="U126" s="126"/>
      <c r="V126" s="21"/>
      <c r="W126" s="21"/>
      <c r="X126" s="21"/>
      <c r="Y126" s="21"/>
      <c r="Z126" s="21"/>
      <c r="AA126" s="21"/>
      <c r="AB126" s="21"/>
      <c r="AC126" s="21"/>
      <c r="AD126" s="113"/>
    </row>
    <row r="127" spans="1:30">
      <c r="A127" s="14" t="str">
        <f>Fuel!C15</f>
        <v>wood pellets - bulk supply, for main htg</v>
      </c>
      <c r="E127" s="14" t="str">
        <f>Fuel!C13</f>
        <v>wood logs</v>
      </c>
      <c r="Q127" s="114"/>
      <c r="R127" s="114"/>
      <c r="S127" s="114"/>
      <c r="T127" s="114"/>
      <c r="U127" s="114"/>
      <c r="V127" s="114"/>
      <c r="W127" s="114"/>
      <c r="X127" s="114"/>
      <c r="Y127" s="114"/>
      <c r="Z127" s="114"/>
      <c r="AA127" s="114"/>
      <c r="AB127" s="114"/>
      <c r="AC127" s="114"/>
      <c r="AD127" s="116"/>
    </row>
    <row r="128" spans="1:30">
      <c r="A128" s="14" t="str">
        <f>Fuel!C16</f>
        <v>wood chips</v>
      </c>
      <c r="E128" s="14" t="str">
        <f>Fuel!C14</f>
        <v>wood pellets - in bags, for sec. htg</v>
      </c>
    </row>
    <row r="129" spans="1:5">
      <c r="A129" s="14" t="str">
        <f>Fuel!C17</f>
        <v>solid multi-fuel</v>
      </c>
      <c r="E129" s="14" t="str">
        <f>Fuel!C15</f>
        <v>wood pellets - bulk supply, for main htg</v>
      </c>
    </row>
    <row r="130" spans="1:5">
      <c r="A130" s="14" t="str">
        <f>Fuel!C20</f>
        <v>waste combustion</v>
      </c>
      <c r="E130" s="14" t="str">
        <f>Fuel!C16</f>
        <v>wood chips</v>
      </c>
    </row>
    <row r="131" spans="1:5">
      <c r="A131" s="14" t="str">
        <f>Fuel!C21</f>
        <v>biomass or biogas</v>
      </c>
      <c r="E131" s="14" t="str">
        <f>Fuel!C17</f>
        <v>solid multi-fuel</v>
      </c>
    </row>
    <row r="132" spans="1:5">
      <c r="A132" s="14" t="str">
        <f>Fuel!C18</f>
        <v>electricity</v>
      </c>
      <c r="E132" s="14" t="str">
        <f>Fuel!C18</f>
        <v>electricity</v>
      </c>
    </row>
    <row r="133" spans="1:5">
      <c r="A133" s="174" t="str">
        <f>Fuel!C24</f>
        <v>Biodiesel from renewable sources only</v>
      </c>
      <c r="E133" s="14" t="str">
        <f>Fuel!C24</f>
        <v>Biodiesel from renewable sources only</v>
      </c>
    </row>
    <row r="134" spans="1:5">
      <c r="A134" s="174" t="str">
        <f>Fuel!C25</f>
        <v>Bioethanol from renewable sources only</v>
      </c>
      <c r="E134" s="14" t="str">
        <f>Fuel!C25</f>
        <v>Bioethanol from renewable sources only</v>
      </c>
    </row>
    <row r="135" spans="1:5">
      <c r="A135" s="13" t="s">
        <v>187</v>
      </c>
    </row>
    <row r="136" spans="1:5">
      <c r="A136" s="14" t="s">
        <v>98</v>
      </c>
      <c r="B136" s="14">
        <v>1</v>
      </c>
    </row>
    <row r="137" spans="1:5">
      <c r="A137" s="14" t="s">
        <v>99</v>
      </c>
      <c r="B137" s="14">
        <v>0</v>
      </c>
    </row>
    <row r="138" spans="1:5">
      <c r="A138" s="14" t="s">
        <v>103</v>
      </c>
      <c r="B138" s="14">
        <v>0</v>
      </c>
    </row>
    <row r="140" spans="1:5">
      <c r="A140" s="13" t="s">
        <v>661</v>
      </c>
    </row>
    <row r="141" spans="1:5">
      <c r="A141" s="14" t="s">
        <v>688</v>
      </c>
      <c r="D141" s="14">
        <v>1</v>
      </c>
    </row>
    <row r="142" spans="1:5">
      <c r="A142" s="14" t="s">
        <v>882</v>
      </c>
      <c r="D142" s="14">
        <v>2</v>
      </c>
    </row>
    <row r="143" spans="1:5">
      <c r="A143" s="14" t="s">
        <v>103</v>
      </c>
      <c r="D143" s="14">
        <v>2</v>
      </c>
    </row>
    <row r="145" spans="1:6">
      <c r="A145" s="25" t="s">
        <v>761</v>
      </c>
      <c r="B145" s="174"/>
      <c r="C145" s="174"/>
    </row>
    <row r="146" spans="1:6">
      <c r="A146" s="174" t="s">
        <v>762</v>
      </c>
      <c r="B146" s="174"/>
      <c r="C146" s="174">
        <v>0</v>
      </c>
    </row>
    <row r="147" spans="1:6">
      <c r="A147" s="174" t="s">
        <v>763</v>
      </c>
      <c r="B147" s="174"/>
      <c r="C147" s="174">
        <v>1</v>
      </c>
    </row>
    <row r="148" spans="1:6">
      <c r="A148" s="174" t="s">
        <v>764</v>
      </c>
      <c r="B148" s="174"/>
      <c r="C148" s="174">
        <v>2</v>
      </c>
    </row>
    <row r="150" spans="1:6">
      <c r="A150" s="25" t="s">
        <v>688</v>
      </c>
    </row>
    <row r="151" spans="1:6">
      <c r="A151" s="112" t="s">
        <v>766</v>
      </c>
      <c r="B151" s="174"/>
      <c r="C151" s="174"/>
      <c r="D151" s="14">
        <f>IF(L36&gt;0,(F95*((1/0.9)+(L35/(L36*0.4))-(1/L36))),0)</f>
        <v>0</v>
      </c>
      <c r="E151" s="174"/>
      <c r="F151" s="174"/>
    </row>
  </sheetData>
  <sheetProtection algorithmName="SHA-512" hashValue="71jIavoUePIMQmFw83IjQV9JeCm+BmEGiRLBEjKrwpBOo3AJSogYwP5ikcqDH9l0165mxuZ7uUjmY4pLs9M/qg==" saltValue="63fg1usuVWsMTADmoZapnQ==" spinCount="100000" sheet="1" objects="1" scenarios="1"/>
  <mergeCells count="13">
    <mergeCell ref="W118:X118"/>
    <mergeCell ref="W119:X119"/>
    <mergeCell ref="W120:X120"/>
    <mergeCell ref="C24:F24"/>
    <mergeCell ref="C25:F25"/>
    <mergeCell ref="D65:G65"/>
    <mergeCell ref="D68:G68"/>
    <mergeCell ref="D56:G56"/>
    <mergeCell ref="G33:I33"/>
    <mergeCell ref="G37:J37"/>
    <mergeCell ref="D62:G62"/>
    <mergeCell ref="C26:F26"/>
    <mergeCell ref="C27:F27"/>
  </mergeCells>
  <phoneticPr fontId="0" type="noConversion"/>
  <conditionalFormatting sqref="K29">
    <cfRule type="cellIs" dxfId="50" priority="6" stopIfTrue="1" operator="notEqual">
      <formula>"OK"</formula>
    </cfRule>
  </conditionalFormatting>
  <conditionalFormatting sqref="Q5:Q8">
    <cfRule type="expression" dxfId="49" priority="3">
      <formula>$K$7&lt;=100</formula>
    </cfRule>
  </conditionalFormatting>
  <conditionalFormatting sqref="H26">
    <cfRule type="expression" dxfId="48" priority="2">
      <formula>OR($A$26="Heat Pump",$A$26="Exhaust Air Heat Pump")</formula>
    </cfRule>
  </conditionalFormatting>
  <conditionalFormatting sqref="H27">
    <cfRule type="expression" dxfId="47" priority="1">
      <formula>OR($A$27="Heat Pump",$A$27="Exhaust Air Heat Pump")</formula>
    </cfRule>
  </conditionalFormatting>
  <dataValidations count="8">
    <dataValidation type="list" allowBlank="1" showInputMessage="1" showErrorMessage="1" errorTitle="DEAP" error="Please select item from drop-down list." sqref="G37:J37" xr:uid="{00000000-0002-0000-0C00-000000000000}">
      <formula1>$A$117:$A$134</formula1>
    </dataValidation>
    <dataValidation type="list" allowBlank="1" showInputMessage="1" showErrorMessage="1" errorTitle="DEAP" error="Please select item from drop-down list." sqref="G11" xr:uid="{00000000-0002-0000-0C00-000001000000}">
      <formula1>$A$136:$A$138</formula1>
    </dataValidation>
    <dataValidation type="list" allowBlank="1" showInputMessage="1" showErrorMessage="1" errorTitle="DEAP" error="Please select item from drop-down list." sqref="G33:I33" xr:uid="{00000000-0002-0000-0C00-000002000000}">
      <formula1>$A$141:$A$143</formula1>
    </dataValidation>
    <dataValidation type="list" allowBlank="1" showInputMessage="1" showErrorMessage="1" errorTitle="DEAP" error="Please select item from drop-down list." sqref="D56:G56" xr:uid="{00000000-0002-0000-0C00-000003000000}">
      <formula1>$E$117:$E$134</formula1>
    </dataValidation>
    <dataValidation type="list" allowBlank="1" showErrorMessage="1" sqref="C24:F27" xr:uid="{00000000-0002-0000-0C00-000004000000}">
      <formula1>$A$117:$A$134</formula1>
    </dataValidation>
    <dataValidation type="list" allowBlank="1" showInputMessage="1" showErrorMessage="1" sqref="A26:A27" xr:uid="{4BC1851F-F693-43C7-AD9A-614A758D489F}">
      <formula1>"Heat Pump, Exhaust Air Heat Pump, Central Boiler, Electric Heaters, Warm Air System, Room Heaters, Other"</formula1>
    </dataValidation>
    <dataValidation type="list" allowBlank="1" showInputMessage="1" showErrorMessage="1" sqref="A24:A25" xr:uid="{13943F6A-0F4F-45C0-B5FD-9B0883770179}">
      <formula1>"Central Boiler, Electric Heaters, Warm Air System, Room Heaters, Other"</formula1>
    </dataValidation>
    <dataValidation type="list" allowBlank="1" showErrorMessage="1" sqref="W118:X120" xr:uid="{EC558A3E-6631-4179-8104-16347C79E689}">
      <formula1>$A$146:$A$148</formula1>
    </dataValidation>
  </dataValidations>
  <pageMargins left="0.5" right="0.5" top="0.42" bottom="0.46" header="0.41" footer="0.44"/>
  <pageSetup paperSize="9" scale="37"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pageSetUpPr fitToPage="1"/>
  </sheetPr>
  <dimension ref="A1:M54"/>
  <sheetViews>
    <sheetView workbookViewId="0">
      <selection activeCell="B19" sqref="B19"/>
    </sheetView>
  </sheetViews>
  <sheetFormatPr defaultRowHeight="12.75"/>
  <sheetData>
    <row r="1" spans="1:13" s="66" customFormat="1" ht="18" customHeight="1">
      <c r="A1" s="23" t="s">
        <v>826</v>
      </c>
      <c r="B1" s="26"/>
      <c r="C1" s="500"/>
      <c r="D1" s="500"/>
      <c r="E1" s="500"/>
      <c r="F1" s="27"/>
      <c r="G1" s="27"/>
      <c r="H1" s="500"/>
      <c r="I1" s="500"/>
      <c r="J1" s="500"/>
      <c r="K1" s="500"/>
      <c r="L1" s="500"/>
      <c r="M1" s="507"/>
    </row>
    <row r="2" spans="1:13" ht="27" customHeight="1">
      <c r="A2" s="13"/>
      <c r="B2" s="174"/>
      <c r="C2" s="174"/>
      <c r="D2" s="174"/>
      <c r="E2" s="652" t="s">
        <v>727</v>
      </c>
      <c r="F2" s="652" t="s">
        <v>728</v>
      </c>
      <c r="G2" s="652" t="s">
        <v>827</v>
      </c>
      <c r="H2" s="222"/>
      <c r="I2" s="14"/>
      <c r="J2" s="14"/>
      <c r="K2" s="14"/>
      <c r="L2" s="14"/>
      <c r="M2" s="14"/>
    </row>
    <row r="3" spans="1:13">
      <c r="A3" s="174"/>
      <c r="B3" s="174"/>
      <c r="C3" s="174"/>
      <c r="D3" s="174"/>
      <c r="E3" s="508" t="s">
        <v>640</v>
      </c>
      <c r="F3" s="508" t="s">
        <v>640</v>
      </c>
      <c r="G3" s="508" t="s">
        <v>730</v>
      </c>
      <c r="H3" s="589"/>
      <c r="I3" s="14"/>
      <c r="J3" s="14"/>
      <c r="K3" s="14"/>
      <c r="L3" s="14"/>
      <c r="M3" s="14"/>
    </row>
    <row r="4" spans="1:13">
      <c r="A4" s="174" t="s">
        <v>704</v>
      </c>
      <c r="B4" s="174"/>
      <c r="C4" s="174"/>
      <c r="D4" s="174"/>
      <c r="E4" s="649">
        <f>CHOOSE(SH!$I$39,'ER1'!F52,'ER2'!E75)</f>
        <v>3089.9822890565615</v>
      </c>
      <c r="F4" s="649">
        <f>CHOOSE(SH!$I$39,'ER1'!G52,'ER2'!F75)</f>
        <v>3398.9805179622181</v>
      </c>
      <c r="G4" s="649">
        <f>CHOOSE(SH!$I$39,'ER1'!H52,'ER2'!G75)</f>
        <v>627.26640467848199</v>
      </c>
      <c r="H4" s="649"/>
      <c r="I4" s="14"/>
      <c r="J4" s="14"/>
      <c r="K4" s="14"/>
      <c r="L4" s="14"/>
      <c r="M4" s="14"/>
    </row>
    <row r="5" spans="1:13">
      <c r="A5" s="174" t="s">
        <v>706</v>
      </c>
      <c r="B5" s="174"/>
      <c r="C5" s="174"/>
      <c r="D5" s="174"/>
      <c r="E5" s="649">
        <f>CHOOSE(SH!$I$39,'ER1'!F53,'ER2'!E76)</f>
        <v>0</v>
      </c>
      <c r="F5" s="649">
        <f>CHOOSE(SH!$I$39,'ER1'!G53,'ER2'!F76)</f>
        <v>0</v>
      </c>
      <c r="G5" s="649">
        <f>CHOOSE(SH!$I$39,'ER1'!H53,'ER2'!G76)</f>
        <v>0</v>
      </c>
      <c r="H5" s="649"/>
      <c r="I5" s="14"/>
      <c r="J5" s="14"/>
      <c r="K5" s="14"/>
      <c r="L5" s="14"/>
      <c r="M5" s="14"/>
    </row>
    <row r="6" spans="1:13">
      <c r="A6" s="174" t="s">
        <v>707</v>
      </c>
      <c r="B6" s="174"/>
      <c r="C6" s="174"/>
      <c r="D6" s="174"/>
      <c r="E6" s="649">
        <f>CHOOSE(SH!$I$39,'ER1'!F54,'ER2'!E77)</f>
        <v>2725.7507665950402</v>
      </c>
      <c r="F6" s="649">
        <f>CHOOSE(SH!$I$39,'ER1'!G54,'ER2'!F77)</f>
        <v>2998.3258432545445</v>
      </c>
      <c r="G6" s="649">
        <f>CHOOSE(SH!$I$39,'ER1'!H54,'ER2'!G77)</f>
        <v>553.32740561879325</v>
      </c>
      <c r="H6" s="649"/>
      <c r="I6" s="14"/>
      <c r="J6" s="14"/>
      <c r="K6" s="14"/>
      <c r="L6" s="14"/>
      <c r="M6" s="14"/>
    </row>
    <row r="7" spans="1:13">
      <c r="A7" s="174" t="s">
        <v>708</v>
      </c>
      <c r="B7" s="174"/>
      <c r="C7" s="174"/>
      <c r="D7" s="174"/>
      <c r="E7" s="649">
        <f>CHOOSE(SH!$I$39,'ER1'!F55,'ER2'!E78)</f>
        <v>0</v>
      </c>
      <c r="F7" s="649">
        <f>CHOOSE(SH!$I$39,'ER1'!G55,'ER2'!F78)</f>
        <v>0</v>
      </c>
      <c r="G7" s="649">
        <f>CHOOSE(SH!$I$39,'ER1'!H55,'ER2'!G78)</f>
        <v>0</v>
      </c>
      <c r="H7" s="649"/>
      <c r="I7" s="14"/>
      <c r="J7" s="14"/>
      <c r="K7" s="14"/>
      <c r="L7" s="14"/>
      <c r="M7" s="14"/>
    </row>
    <row r="8" spans="1:13">
      <c r="A8" s="174" t="s">
        <v>828</v>
      </c>
      <c r="B8" s="174"/>
      <c r="C8" s="174"/>
      <c r="D8" s="174"/>
      <c r="E8" s="649">
        <f>CHOOSE(SH!$I$39,'ER1'!F56,'ER2'!E79)</f>
        <v>97</v>
      </c>
      <c r="F8" s="649">
        <f>CHOOSE(SH!$I$39,'ER1'!G56,'ER2'!F79)</f>
        <v>201.76000000000002</v>
      </c>
      <c r="G8" s="649">
        <f>CHOOSE(SH!$I$39,'ER1'!H56,'ER2'!G79)</f>
        <v>39.672999999999995</v>
      </c>
      <c r="H8" s="649"/>
      <c r="I8" s="14"/>
      <c r="J8" s="14"/>
      <c r="K8" s="14"/>
      <c r="L8" s="14"/>
      <c r="M8" s="14"/>
    </row>
    <row r="9" spans="1:13">
      <c r="A9" s="174" t="s">
        <v>710</v>
      </c>
      <c r="B9" s="174"/>
      <c r="C9" s="174"/>
      <c r="D9" s="174"/>
      <c r="E9" s="649">
        <f>CHOOSE(SH!$I$39,'ER1'!F57,'ER2'!E80)</f>
        <v>246.51445106940128</v>
      </c>
      <c r="F9" s="649">
        <f>CHOOSE(SH!$I$39,'ER1'!G57,'ER2'!F80)</f>
        <v>512.75005822435469</v>
      </c>
      <c r="G9" s="649">
        <f>CHOOSE(SH!$I$39,'ER1'!H57,'ER2'!G80)</f>
        <v>100.82441048738511</v>
      </c>
      <c r="H9" s="649"/>
      <c r="I9" s="14"/>
      <c r="J9" s="14"/>
      <c r="K9" s="14"/>
      <c r="L9" s="14"/>
      <c r="M9" s="14"/>
    </row>
    <row r="10" spans="1:13">
      <c r="A10" s="174" t="s">
        <v>735</v>
      </c>
      <c r="B10" s="174"/>
      <c r="C10" s="174"/>
      <c r="D10" s="174"/>
      <c r="E10" s="649">
        <f>CHOOSE(SH!$I$39,'ER1'!F58,0)</f>
        <v>0</v>
      </c>
      <c r="F10" s="649">
        <f>CHOOSE(SH!$I$39,'ER1'!G58,0)</f>
        <v>0</v>
      </c>
      <c r="G10" s="649">
        <f>CHOOSE(SH!$I$39,'ER1'!H58,0)</f>
        <v>0</v>
      </c>
      <c r="H10" s="649"/>
      <c r="I10" s="14"/>
      <c r="J10" s="14"/>
      <c r="K10" s="14"/>
      <c r="L10" s="14"/>
      <c r="M10" s="14"/>
    </row>
    <row r="11" spans="1:13">
      <c r="A11" s="174" t="s">
        <v>736</v>
      </c>
      <c r="B11" s="212"/>
      <c r="C11" s="212"/>
      <c r="D11" s="212"/>
      <c r="E11" s="649">
        <f>0 - (CHOOSE(SH!$I$39,'ER1'!F59,0))</f>
        <v>0</v>
      </c>
      <c r="F11" s="649">
        <f>0 - (CHOOSE(SH!$I$39,'ER1'!G59,0))</f>
        <v>0</v>
      </c>
      <c r="G11" s="649">
        <f>0 - (CHOOSE(SH!$I$39,'ER1'!H59,0))</f>
        <v>0</v>
      </c>
      <c r="H11" s="649"/>
      <c r="I11" s="14"/>
      <c r="J11" s="14"/>
      <c r="K11" s="14"/>
      <c r="L11" s="14"/>
      <c r="M11" s="14"/>
    </row>
    <row r="12" spans="1:13">
      <c r="A12" s="174" t="s">
        <v>737</v>
      </c>
      <c r="B12" s="212"/>
      <c r="C12" s="212"/>
      <c r="D12" s="212"/>
      <c r="E12" s="649">
        <f>CHOOSE(SH!$I$39,-'ER1'!F60,-'ER2'!E81)</f>
        <v>-886</v>
      </c>
      <c r="F12" s="649">
        <f>CHOOSE(SH!$I$39,-'ER1'!G60,-'ER2'!F81)</f>
        <v>-1842.88</v>
      </c>
      <c r="G12" s="649">
        <f>CHOOSE(SH!$I$39,-'ER1'!H60,-'ER2'!G81)</f>
        <v>-362.37399999999997</v>
      </c>
      <c r="H12" s="649"/>
      <c r="I12" s="14"/>
      <c r="J12" s="14"/>
      <c r="K12" s="14"/>
      <c r="L12" s="14"/>
      <c r="M12" s="14"/>
    </row>
    <row r="13" spans="1:13">
      <c r="A13" s="174" t="s">
        <v>713</v>
      </c>
      <c r="B13" s="174" t="str">
        <f>CHOOSE(SH!$I$39,IF(ISBLANK('ER1'!D39),"-",'ER1'!D39),IF(ISBLANK('ER2'!D62),"-",'ER2'!D62))</f>
        <v xml:space="preserve"> </v>
      </c>
      <c r="C13" s="174"/>
      <c r="D13" s="174"/>
      <c r="E13" s="649">
        <f>CHOOSE(SH!$I$39,'ER1'!F62-'ER1'!F61,'ER2'!E83-'ER2'!E82)</f>
        <v>0</v>
      </c>
      <c r="F13" s="649">
        <f>CHOOSE(SH!$I$39,'ER1'!G62-'ER1'!G61,'ER2'!F83-'ER2'!F82)</f>
        <v>0</v>
      </c>
      <c r="G13" s="649">
        <f>CHOOSE(SH!$I$39,'ER1'!H62-'ER1'!H61,'ER2'!G83-'ER2'!G82)</f>
        <v>0</v>
      </c>
      <c r="H13" s="649"/>
      <c r="I13" s="14"/>
      <c r="J13" s="14"/>
      <c r="K13" s="14"/>
      <c r="L13" s="14"/>
      <c r="M13" s="14"/>
    </row>
    <row r="14" spans="1:13">
      <c r="A14" s="174" t="s">
        <v>719</v>
      </c>
      <c r="B14" s="174" t="str">
        <f>CHOOSE(SH!$I$39,IF(ISBLANK('ER1'!D42),"-",'ER1'!D42),IF(ISBLANK('ER2'!D65),"-",'ER2'!D65))</f>
        <v>-</v>
      </c>
      <c r="C14" s="174"/>
      <c r="D14" s="174"/>
      <c r="E14" s="649">
        <f>CHOOSE(SH!$I$39,'ER1'!F64-'ER1'!F63,'ER2'!E86-'ER2'!E85)</f>
        <v>0</v>
      </c>
      <c r="F14" s="649">
        <f>CHOOSE(SH!$I$39,'ER1'!G64-'ER1'!G63,'ER2'!F86-'ER2'!F85)</f>
        <v>0</v>
      </c>
      <c r="G14" s="649">
        <f>CHOOSE(SH!$I$39,'ER1'!H64-'ER1'!H63,'ER2'!G86-'ER2'!G85)</f>
        <v>0</v>
      </c>
      <c r="H14" s="649"/>
      <c r="I14" s="14"/>
      <c r="J14" s="14"/>
      <c r="K14" s="14"/>
      <c r="L14" s="14"/>
      <c r="M14" s="14"/>
    </row>
    <row r="15" spans="1:13">
      <c r="A15" s="174" t="s">
        <v>723</v>
      </c>
      <c r="B15" s="174" t="str">
        <f>CHOOSE(SH!$I$39,IF(ISBLANK('ER1'!D45),"-",'ER1'!D45),IF(ISBLANK('ER2'!D68),"-",'ER2'!D68))</f>
        <v>-</v>
      </c>
      <c r="C15" s="174"/>
      <c r="D15" s="174"/>
      <c r="E15" s="649">
        <f>CHOOSE(SH!$I$39,'ER1'!F66-'ER1'!F65,'ER2'!E89-'ER2'!E88)</f>
        <v>0</v>
      </c>
      <c r="F15" s="649">
        <f>CHOOSE(SH!$I$39,'ER1'!G66-'ER1'!G65,'ER2'!F89-'ER2'!F88)</f>
        <v>0</v>
      </c>
      <c r="G15" s="649">
        <f>CHOOSE(SH!$I$39,'ER1'!H66-'ER1'!H65,'ER2'!G89-'ER2'!G88)</f>
        <v>0</v>
      </c>
      <c r="H15" s="649"/>
      <c r="I15" s="14"/>
      <c r="J15" s="14"/>
      <c r="K15" s="14"/>
      <c r="L15" s="14"/>
      <c r="M15" s="14"/>
    </row>
    <row r="16" spans="1:13">
      <c r="A16" s="174" t="s">
        <v>696</v>
      </c>
      <c r="B16" s="174"/>
      <c r="C16" s="174"/>
      <c r="D16" s="174"/>
      <c r="E16" s="634">
        <f>SUM(E4:E15)</f>
        <v>5273.2475067210034</v>
      </c>
      <c r="F16" s="634">
        <f>SUM(F4:F15)</f>
        <v>5268.9364194411173</v>
      </c>
      <c r="G16" s="634">
        <f>SUM(G4:G15)</f>
        <v>958.71722078466041</v>
      </c>
      <c r="H16" s="653"/>
      <c r="I16" s="14"/>
      <c r="J16" s="14"/>
      <c r="K16" s="14"/>
      <c r="L16" s="14"/>
      <c r="M16" s="14"/>
    </row>
    <row r="17" spans="1:13" ht="14.25">
      <c r="A17" s="174" t="s">
        <v>829</v>
      </c>
      <c r="B17" s="174"/>
      <c r="C17" s="174"/>
      <c r="D17" s="174"/>
      <c r="E17" s="648">
        <f>IF(tfa=0,0,E16/tfa)</f>
        <v>41.851170688261931</v>
      </c>
      <c r="F17" s="654">
        <f>IF(tfa=0,0,F16/tfa)</f>
        <v>41.816955709850134</v>
      </c>
      <c r="G17" s="654">
        <f>IF(tfa=0,0,G16/tfa)</f>
        <v>7.6088668316242893</v>
      </c>
      <c r="H17" s="14"/>
      <c r="I17" s="14"/>
      <c r="J17" s="14"/>
      <c r="K17" s="14"/>
      <c r="L17" s="14"/>
      <c r="M17" s="14"/>
    </row>
    <row r="18" spans="1:13" ht="14.25">
      <c r="A18" s="14"/>
      <c r="B18" s="14"/>
      <c r="C18" s="14"/>
      <c r="D18" s="14"/>
      <c r="E18" s="14"/>
      <c r="F18" s="14" t="s">
        <v>830</v>
      </c>
      <c r="G18" s="14"/>
      <c r="H18" s="14"/>
      <c r="I18" s="14"/>
      <c r="J18" s="14"/>
      <c r="K18" s="14"/>
      <c r="L18" s="14"/>
      <c r="M18" s="14"/>
    </row>
    <row r="19" spans="1:13">
      <c r="A19" s="14" t="s">
        <v>831</v>
      </c>
      <c r="B19" s="14"/>
      <c r="C19" s="14"/>
      <c r="D19" s="14"/>
      <c r="E19" s="14"/>
      <c r="F19" s="634">
        <f>F17</f>
        <v>41.816955709850134</v>
      </c>
      <c r="G19" s="655" t="str">
        <f>VLOOKUP(F19,B40:C54,2,TRUE)</f>
        <v>A2</v>
      </c>
      <c r="H19" s="14"/>
      <c r="I19" s="14"/>
      <c r="J19" s="14"/>
      <c r="K19" s="14"/>
      <c r="L19" s="14"/>
      <c r="M19" s="14"/>
    </row>
    <row r="20" spans="1:13">
      <c r="A20" s="14"/>
      <c r="B20" s="14"/>
      <c r="C20" s="14"/>
      <c r="D20" s="14"/>
      <c r="E20" s="14"/>
      <c r="F20" s="14"/>
      <c r="G20" s="14"/>
      <c r="H20" s="14"/>
      <c r="I20" s="14"/>
      <c r="J20" s="14"/>
      <c r="K20" s="14"/>
      <c r="L20" s="14"/>
      <c r="M20" s="14"/>
    </row>
    <row r="21" spans="1:13" s="14" customFormat="1"/>
    <row r="22" spans="1:13" s="14" customFormat="1">
      <c r="A22" s="13" t="s">
        <v>832</v>
      </c>
    </row>
    <row r="23" spans="1:13" s="14" customFormat="1">
      <c r="A23" s="174" t="s">
        <v>814</v>
      </c>
    </row>
    <row r="24" spans="1:13" s="14" customFormat="1">
      <c r="A24" s="174"/>
      <c r="E24" s="14" t="s">
        <v>728</v>
      </c>
      <c r="G24" s="14" t="s">
        <v>733</v>
      </c>
      <c r="I24" s="174" t="s">
        <v>833</v>
      </c>
    </row>
    <row r="25" spans="1:13" s="14" customFormat="1">
      <c r="A25" s="174"/>
      <c r="E25" s="14" t="s">
        <v>640</v>
      </c>
      <c r="G25" s="14" t="s">
        <v>730</v>
      </c>
      <c r="I25" s="174" t="s">
        <v>834</v>
      </c>
    </row>
    <row r="26" spans="1:13" s="14" customFormat="1">
      <c r="A26" s="174" t="s">
        <v>835</v>
      </c>
      <c r="E26" s="49">
        <f>IF(E35,"-",'ER1'!AG59)</f>
        <v>18210.755614535592</v>
      </c>
      <c r="G26" s="49">
        <f>IF(G35,"-",'ER1'!AH59)</f>
        <v>3752.6011006097278</v>
      </c>
    </row>
    <row r="27" spans="1:13" s="14" customFormat="1">
      <c r="A27" s="174"/>
      <c r="E27" s="14" t="s">
        <v>836</v>
      </c>
      <c r="G27" s="14" t="s">
        <v>837</v>
      </c>
      <c r="I27" s="174" t="s">
        <v>838</v>
      </c>
    </row>
    <row r="28" spans="1:13" s="14" customFormat="1">
      <c r="A28" s="174" t="s">
        <v>839</v>
      </c>
      <c r="E28" s="121">
        <f>IF(E35,"-",F16/E26)</f>
        <v>0.28933101574519621</v>
      </c>
      <c r="G28" s="121">
        <f>IF(G35,"-",G16/G26)</f>
        <v>0.25548071726272392</v>
      </c>
      <c r="I28" s="253">
        <f>RER!I18</f>
        <v>0.25912929852382538</v>
      </c>
    </row>
    <row r="29" spans="1:13" s="14" customFormat="1">
      <c r="A29" s="174" t="s">
        <v>840</v>
      </c>
      <c r="E29" s="122">
        <f>0.3</f>
        <v>0.3</v>
      </c>
      <c r="G29" s="122">
        <f>0.35</f>
        <v>0.35</v>
      </c>
      <c r="I29" s="254">
        <v>0.2</v>
      </c>
    </row>
    <row r="30" spans="1:13" s="14" customFormat="1">
      <c r="A30" s="174"/>
      <c r="E30" s="120" t="str">
        <f>IF(E28&lt;=E29,"Complies","Does not comply")</f>
        <v>Complies</v>
      </c>
      <c r="G30" s="120" t="str">
        <f>IF(G28&lt;=G29,"Complies","Does not comply")</f>
        <v>Complies</v>
      </c>
      <c r="I30" s="120" t="str">
        <f>IF(I28&gt;=I29,"Complies","Does not comply")</f>
        <v>Complies</v>
      </c>
    </row>
    <row r="31" spans="1:13" s="14" customFormat="1">
      <c r="A31" s="174"/>
    </row>
    <row r="32" spans="1:13" s="14" customFormat="1"/>
    <row r="33" spans="1:8" s="14" customFormat="1">
      <c r="A33" s="13" t="s">
        <v>841</v>
      </c>
    </row>
    <row r="34" spans="1:8" s="14" customFormat="1">
      <c r="E34" s="212" t="s">
        <v>732</v>
      </c>
      <c r="G34" s="212" t="s">
        <v>784</v>
      </c>
    </row>
    <row r="35" spans="1:8" s="14" customFormat="1">
      <c r="A35" s="110" t="s">
        <v>842</v>
      </c>
      <c r="E35" s="212" t="b">
        <f>ISERROR('ER1'!AG59)</f>
        <v>0</v>
      </c>
      <c r="G35" s="212" t="b">
        <f>ISERROR('ER1'!AH59)</f>
        <v>0</v>
      </c>
      <c r="H35" s="174"/>
    </row>
    <row r="36" spans="1:8" s="14" customFormat="1">
      <c r="A36" s="25"/>
    </row>
    <row r="37" spans="1:8">
      <c r="A37" s="13" t="s">
        <v>268</v>
      </c>
      <c r="B37" s="14"/>
      <c r="C37" s="14"/>
      <c r="D37" s="14"/>
      <c r="E37" s="14"/>
      <c r="F37" s="14"/>
      <c r="G37" s="14"/>
      <c r="H37" s="14"/>
    </row>
    <row r="38" spans="1:8">
      <c r="A38" s="3" t="s">
        <v>843</v>
      </c>
      <c r="B38" s="212"/>
      <c r="C38" s="212"/>
      <c r="D38" s="212"/>
      <c r="E38" s="212"/>
      <c r="F38" s="212"/>
      <c r="G38" s="212"/>
      <c r="H38" s="212"/>
    </row>
    <row r="39" spans="1:8">
      <c r="A39" s="212" t="s">
        <v>844</v>
      </c>
      <c r="B39" s="212" t="s">
        <v>845</v>
      </c>
      <c r="C39" s="212" t="s">
        <v>846</v>
      </c>
      <c r="D39" s="212"/>
      <c r="E39" s="212"/>
      <c r="F39" s="212"/>
      <c r="G39" s="212"/>
      <c r="H39" s="212"/>
    </row>
    <row r="40" spans="1:8">
      <c r="A40" s="212">
        <v>-1000</v>
      </c>
      <c r="B40" s="212">
        <f t="shared" ref="B40:B54" si="0">A40+0.000001</f>
        <v>-999.999999</v>
      </c>
      <c r="C40" s="212" t="s">
        <v>847</v>
      </c>
      <c r="D40" s="212"/>
      <c r="E40" s="212"/>
      <c r="F40" s="212"/>
      <c r="G40" s="212"/>
      <c r="H40" s="212"/>
    </row>
    <row r="41" spans="1:8">
      <c r="A41" s="212">
        <v>25</v>
      </c>
      <c r="B41" s="212">
        <f t="shared" si="0"/>
        <v>25.000001000000001</v>
      </c>
      <c r="C41" s="212" t="s">
        <v>848</v>
      </c>
      <c r="D41" s="212"/>
      <c r="E41" s="212"/>
      <c r="F41" s="212"/>
      <c r="G41" s="212"/>
      <c r="H41" s="212"/>
    </row>
    <row r="42" spans="1:8">
      <c r="A42" s="212">
        <v>50</v>
      </c>
      <c r="B42" s="212">
        <f t="shared" si="0"/>
        <v>50.000000999999997</v>
      </c>
      <c r="C42" s="212" t="s">
        <v>849</v>
      </c>
      <c r="D42" s="212"/>
      <c r="E42" s="212"/>
      <c r="F42" s="212"/>
      <c r="G42" s="212"/>
      <c r="H42" s="212"/>
    </row>
    <row r="43" spans="1:8">
      <c r="A43" s="212">
        <v>75</v>
      </c>
      <c r="B43" s="212">
        <f t="shared" si="0"/>
        <v>75.000000999999997</v>
      </c>
      <c r="C43" s="212" t="s">
        <v>850</v>
      </c>
      <c r="D43" s="212"/>
      <c r="E43" s="212"/>
      <c r="F43" s="212"/>
      <c r="G43" s="212"/>
      <c r="H43" s="212"/>
    </row>
    <row r="44" spans="1:8">
      <c r="A44" s="212">
        <v>100</v>
      </c>
      <c r="B44" s="212">
        <f t="shared" si="0"/>
        <v>100.000001</v>
      </c>
      <c r="C44" s="212" t="s">
        <v>851</v>
      </c>
      <c r="D44" s="212"/>
      <c r="E44" s="212"/>
      <c r="F44" s="212"/>
      <c r="G44" s="212"/>
      <c r="H44" s="212"/>
    </row>
    <row r="45" spans="1:8">
      <c r="A45" s="212">
        <v>125</v>
      </c>
      <c r="B45" s="212">
        <f t="shared" si="0"/>
        <v>125.000001</v>
      </c>
      <c r="C45" s="212" t="s">
        <v>852</v>
      </c>
      <c r="D45" s="212"/>
      <c r="E45" s="212"/>
      <c r="F45" s="212"/>
      <c r="G45" s="212"/>
      <c r="H45" s="212"/>
    </row>
    <row r="46" spans="1:8">
      <c r="A46" s="212">
        <v>150</v>
      </c>
      <c r="B46" s="212">
        <f t="shared" si="0"/>
        <v>150.000001</v>
      </c>
      <c r="C46" s="212" t="s">
        <v>853</v>
      </c>
      <c r="D46" s="212"/>
      <c r="E46" s="212"/>
      <c r="F46" s="212"/>
      <c r="G46" s="212"/>
      <c r="H46" s="212"/>
    </row>
    <row r="47" spans="1:8">
      <c r="A47" s="212">
        <v>175</v>
      </c>
      <c r="B47" s="212">
        <f t="shared" si="0"/>
        <v>175.000001</v>
      </c>
      <c r="C47" s="212" t="s">
        <v>854</v>
      </c>
      <c r="D47" s="212"/>
      <c r="E47" s="212"/>
      <c r="F47" s="212"/>
      <c r="G47" s="212"/>
      <c r="H47" s="212"/>
    </row>
    <row r="48" spans="1:8">
      <c r="A48" s="212">
        <v>200</v>
      </c>
      <c r="B48" s="212">
        <f t="shared" si="0"/>
        <v>200.000001</v>
      </c>
      <c r="C48" s="212" t="s">
        <v>855</v>
      </c>
      <c r="D48" s="212"/>
      <c r="E48" s="212"/>
      <c r="F48" s="212"/>
      <c r="G48" s="212"/>
      <c r="H48" s="212"/>
    </row>
    <row r="49" spans="1:3">
      <c r="A49" s="212">
        <v>225</v>
      </c>
      <c r="B49" s="212">
        <f t="shared" si="0"/>
        <v>225.000001</v>
      </c>
      <c r="C49" s="212" t="s">
        <v>856</v>
      </c>
    </row>
    <row r="50" spans="1:3">
      <c r="A50" s="212">
        <v>260</v>
      </c>
      <c r="B50" s="212">
        <f t="shared" si="0"/>
        <v>260.000001</v>
      </c>
      <c r="C50" s="212" t="s">
        <v>857</v>
      </c>
    </row>
    <row r="51" spans="1:3">
      <c r="A51" s="212">
        <v>300</v>
      </c>
      <c r="B51" s="212">
        <f t="shared" si="0"/>
        <v>300.000001</v>
      </c>
      <c r="C51" s="212" t="s">
        <v>858</v>
      </c>
    </row>
    <row r="52" spans="1:3">
      <c r="A52" s="212">
        <v>340</v>
      </c>
      <c r="B52" s="212">
        <f t="shared" si="0"/>
        <v>340.000001</v>
      </c>
      <c r="C52" s="212" t="s">
        <v>859</v>
      </c>
    </row>
    <row r="53" spans="1:3">
      <c r="A53" s="212">
        <v>380</v>
      </c>
      <c r="B53" s="212">
        <f t="shared" si="0"/>
        <v>380.000001</v>
      </c>
      <c r="C53" s="212" t="s">
        <v>860</v>
      </c>
    </row>
    <row r="54" spans="1:3">
      <c r="A54" s="212">
        <v>450</v>
      </c>
      <c r="B54" s="212">
        <f t="shared" si="0"/>
        <v>450.000001</v>
      </c>
      <c r="C54" s="212" t="s">
        <v>861</v>
      </c>
    </row>
  </sheetData>
  <sheetProtection algorithmName="SHA-512" hashValue="rrDGHvI6vdgqjflfZZpYj/qpb9s1apF4ILUt7fVV+VvuYFeg2IagdykJ97Z62PT0jEUdwtzdSHE/bsWZnMKglA==" saltValue="fh2nsz1AKTF92bf+oyzbpw==" spinCount="100000" sheet="1" objects="1" scenarios="1"/>
  <phoneticPr fontId="0" type="noConversion"/>
  <pageMargins left="0.75" right="0.75" top="1" bottom="1" header="0.5" footer="0.5"/>
  <pageSetup paperSize="9" scale="78" orientation="portrait"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pageSetUpPr fitToPage="1"/>
  </sheetPr>
  <dimension ref="A1:O22"/>
  <sheetViews>
    <sheetView workbookViewId="0">
      <selection activeCell="C14" sqref="C14"/>
    </sheetView>
  </sheetViews>
  <sheetFormatPr defaultColWidth="9.140625" defaultRowHeight="15.75"/>
  <cols>
    <col min="1" max="1" width="65.7109375" style="167" customWidth="1"/>
    <col min="2" max="2" width="19.7109375" style="167" customWidth="1"/>
    <col min="3" max="3" width="15.85546875" style="167" customWidth="1"/>
    <col min="4" max="6" width="14.7109375" style="167" customWidth="1"/>
    <col min="7" max="8" width="14.7109375" style="171" customWidth="1"/>
    <col min="9" max="9" width="14.7109375" style="167" customWidth="1"/>
    <col min="10" max="10" width="14.7109375" style="168" customWidth="1"/>
    <col min="11" max="11" width="14.7109375" style="259" customWidth="1"/>
    <col min="12" max="12" width="16.42578125" style="172" customWidth="1"/>
    <col min="13" max="13" width="38.42578125" style="259" customWidth="1"/>
    <col min="14" max="15" width="25.7109375" style="259" customWidth="1"/>
    <col min="16" max="16" width="11.42578125" style="167" customWidth="1"/>
    <col min="17" max="24" width="9.140625" style="167"/>
    <col min="25" max="25" width="35.5703125" style="167" customWidth="1"/>
    <col min="26" max="16384" width="9.140625" style="167"/>
  </cols>
  <sheetData>
    <row r="1" spans="1:12" ht="45">
      <c r="A1" s="251"/>
      <c r="B1" s="256" t="s">
        <v>741</v>
      </c>
      <c r="C1" s="256" t="s">
        <v>742</v>
      </c>
      <c r="D1" s="256" t="s">
        <v>743</v>
      </c>
      <c r="E1" s="256" t="s">
        <v>744</v>
      </c>
      <c r="F1" s="256" t="s">
        <v>745</v>
      </c>
      <c r="G1" s="256" t="s">
        <v>862</v>
      </c>
      <c r="H1" s="256" t="s">
        <v>863</v>
      </c>
      <c r="I1" s="256" t="s">
        <v>864</v>
      </c>
      <c r="J1" s="256" t="s">
        <v>865</v>
      </c>
      <c r="K1" s="256" t="s">
        <v>866</v>
      </c>
      <c r="L1" s="256" t="s">
        <v>867</v>
      </c>
    </row>
    <row r="2" spans="1:12">
      <c r="A2" s="251" t="s">
        <v>758</v>
      </c>
      <c r="B2" s="252">
        <f>CHOOSE(SH!$I$39,'ER1'!C81,'ER2'!C112)</f>
        <v>343.51445106940128</v>
      </c>
      <c r="C2" s="252">
        <f>CHOOSE(SH!$I$39,'ER1'!D81,'ER2'!D112)</f>
        <v>5815.7330556516017</v>
      </c>
      <c r="D2" s="252">
        <f>CHOOSE(SH!$I$39,'ER1'!E81,'ER2'!E112)</f>
        <v>0</v>
      </c>
      <c r="E2" s="252">
        <f>CHOOSE(SH!$I$39,'ER1'!F81,'ER2'!F112)</f>
        <v>0</v>
      </c>
      <c r="F2" s="252">
        <f>CHOOSE(SH!$I$39,'ER1'!G81,'ER2'!G112)</f>
        <v>0</v>
      </c>
      <c r="G2" s="252">
        <f>CHOOSE(SH!$I$39,SUM('ER1'!N73:N75),SUM('ER2'!N102:N103))</f>
        <v>0</v>
      </c>
      <c r="H2" s="252">
        <f>CHOOSE(SH!$I$39,'ER1'!J78,'ER2'!J107)</f>
        <v>886</v>
      </c>
      <c r="I2" s="252">
        <f>CHOOSE(SH!$I$39,'ER1'!M78,'ER2'!M107)</f>
        <v>0</v>
      </c>
      <c r="J2" s="252">
        <f>CHOOSE(SH!$I$39,'ER1'!J81,'ER2'!J110)</f>
        <v>0</v>
      </c>
      <c r="K2" s="252">
        <f>CHOOSE(SH!$I$39,0,'ER2'!D109)</f>
        <v>0</v>
      </c>
      <c r="L2" s="252">
        <f>CHOOSE(SH!$I$39,'ER1'!L81,'ER2'!L110)</f>
        <v>0</v>
      </c>
    </row>
    <row r="4" spans="1:12" ht="16.5" thickBot="1">
      <c r="K4" s="476"/>
    </row>
    <row r="5" spans="1:12" ht="27">
      <c r="A5" s="170" t="s">
        <v>2</v>
      </c>
      <c r="C5" s="195" t="s">
        <v>868</v>
      </c>
      <c r="D5" s="199" t="s">
        <v>869</v>
      </c>
      <c r="E5" s="200" t="s">
        <v>870</v>
      </c>
      <c r="F5" s="199" t="s">
        <v>871</v>
      </c>
      <c r="G5" s="178" t="s">
        <v>872</v>
      </c>
      <c r="H5" s="206" t="s">
        <v>873</v>
      </c>
      <c r="I5" s="179" t="s">
        <v>838</v>
      </c>
      <c r="K5" s="476"/>
    </row>
    <row r="6" spans="1:12">
      <c r="C6" s="196" t="s">
        <v>396</v>
      </c>
      <c r="D6" s="201"/>
      <c r="E6" s="202"/>
      <c r="F6" s="201" t="s">
        <v>396</v>
      </c>
      <c r="G6" s="181" t="s">
        <v>396</v>
      </c>
      <c r="H6" s="207" t="s">
        <v>396</v>
      </c>
      <c r="I6" s="182" t="s">
        <v>874</v>
      </c>
      <c r="K6" s="476"/>
    </row>
    <row r="7" spans="1:12">
      <c r="A7" s="183" t="s">
        <v>875</v>
      </c>
      <c r="B7" s="180" t="s">
        <v>876</v>
      </c>
      <c r="C7" s="197">
        <f>H2</f>
        <v>886</v>
      </c>
      <c r="D7" s="203">
        <v>0</v>
      </c>
      <c r="E7" s="204">
        <f>Fuel!G28</f>
        <v>2.08</v>
      </c>
      <c r="F7" s="190">
        <f>$C7*D7</f>
        <v>0</v>
      </c>
      <c r="G7" s="189">
        <f>$C7*E7</f>
        <v>1842.88</v>
      </c>
      <c r="H7" s="208">
        <f t="shared" ref="H7:H13" si="0">SUM(F7:G7)</f>
        <v>1842.88</v>
      </c>
      <c r="I7" s="191"/>
      <c r="K7" s="476"/>
    </row>
    <row r="8" spans="1:12">
      <c r="A8" s="183" t="s">
        <v>875</v>
      </c>
      <c r="B8" s="180" t="s">
        <v>96</v>
      </c>
      <c r="C8" s="197">
        <f>J2</f>
        <v>0</v>
      </c>
      <c r="D8" s="203">
        <v>0</v>
      </c>
      <c r="E8" s="204">
        <v>1</v>
      </c>
      <c r="F8" s="190">
        <f>$C8*D8</f>
        <v>0</v>
      </c>
      <c r="G8" s="189">
        <f>$C8*E8</f>
        <v>0</v>
      </c>
      <c r="H8" s="208">
        <f t="shared" si="0"/>
        <v>0</v>
      </c>
      <c r="I8" s="191"/>
      <c r="K8" s="476"/>
    </row>
    <row r="9" spans="1:12">
      <c r="A9" s="183" t="s">
        <v>875</v>
      </c>
      <c r="B9" s="180" t="s">
        <v>877</v>
      </c>
      <c r="C9" s="197">
        <f>WH!G81+'ER2'!D106</f>
        <v>0</v>
      </c>
      <c r="D9" s="203">
        <v>0</v>
      </c>
      <c r="E9" s="204">
        <v>1</v>
      </c>
      <c r="F9" s="190">
        <f>$C9*D9</f>
        <v>0</v>
      </c>
      <c r="G9" s="189">
        <f t="shared" ref="G9:G12" si="1">$C9*E9</f>
        <v>0</v>
      </c>
      <c r="H9" s="208">
        <f t="shared" si="0"/>
        <v>0</v>
      </c>
      <c r="I9" s="191"/>
      <c r="K9" s="476"/>
    </row>
    <row r="10" spans="1:12">
      <c r="A10" s="183" t="s">
        <v>875</v>
      </c>
      <c r="B10" s="180" t="s">
        <v>743</v>
      </c>
      <c r="C10" s="197">
        <f>D2</f>
        <v>0</v>
      </c>
      <c r="D10" s="203">
        <v>0.1</v>
      </c>
      <c r="E10" s="204">
        <v>1</v>
      </c>
      <c r="F10" s="190">
        <f t="shared" ref="F10:F12" si="2">$C10*D10</f>
        <v>0</v>
      </c>
      <c r="G10" s="189">
        <f t="shared" si="1"/>
        <v>0</v>
      </c>
      <c r="H10" s="208">
        <f t="shared" si="0"/>
        <v>0</v>
      </c>
      <c r="I10" s="191"/>
      <c r="K10" s="476"/>
    </row>
    <row r="11" spans="1:12">
      <c r="A11" s="183" t="s">
        <v>875</v>
      </c>
      <c r="B11" s="180" t="s">
        <v>744</v>
      </c>
      <c r="C11" s="197">
        <f>E2</f>
        <v>0</v>
      </c>
      <c r="D11" s="203">
        <f>Fuel!G24-1</f>
        <v>0.30000000000000004</v>
      </c>
      <c r="E11" s="204">
        <v>1</v>
      </c>
      <c r="F11" s="190">
        <f t="shared" si="2"/>
        <v>0</v>
      </c>
      <c r="G11" s="189">
        <f t="shared" si="1"/>
        <v>0</v>
      </c>
      <c r="H11" s="208">
        <f t="shared" si="0"/>
        <v>0</v>
      </c>
      <c r="I11" s="191"/>
      <c r="K11" s="476"/>
    </row>
    <row r="12" spans="1:12">
      <c r="A12" s="183" t="s">
        <v>875</v>
      </c>
      <c r="B12" s="180" t="s">
        <v>878</v>
      </c>
      <c r="C12" s="197">
        <f>F2</f>
        <v>0</v>
      </c>
      <c r="D12" s="203">
        <f>Fuel!G25-1</f>
        <v>0.34000000000000008</v>
      </c>
      <c r="E12" s="204">
        <v>1</v>
      </c>
      <c r="F12" s="190">
        <f t="shared" si="2"/>
        <v>0</v>
      </c>
      <c r="G12" s="189">
        <f t="shared" si="1"/>
        <v>0</v>
      </c>
      <c r="H12" s="208">
        <f t="shared" si="0"/>
        <v>0</v>
      </c>
      <c r="I12" s="191"/>
      <c r="K12" s="476"/>
    </row>
    <row r="13" spans="1:12">
      <c r="A13" s="183" t="s">
        <v>879</v>
      </c>
      <c r="B13" s="180" t="s">
        <v>880</v>
      </c>
      <c r="C13" s="197">
        <f>G2</f>
        <v>0</v>
      </c>
      <c r="D13" s="203">
        <v>0</v>
      </c>
      <c r="E13" s="204">
        <v>1</v>
      </c>
      <c r="F13" s="190">
        <f t="shared" ref="F13:F17" si="3">$C13*D13</f>
        <v>0</v>
      </c>
      <c r="G13" s="189">
        <f t="shared" ref="G13:G17" si="4">$C13*E13</f>
        <v>0</v>
      </c>
      <c r="H13" s="208">
        <f t="shared" si="0"/>
        <v>0</v>
      </c>
      <c r="I13" s="191"/>
      <c r="K13" s="476"/>
    </row>
    <row r="14" spans="1:12">
      <c r="A14" s="183" t="s">
        <v>881</v>
      </c>
      <c r="B14" s="180" t="s">
        <v>688</v>
      </c>
      <c r="C14" s="197">
        <f>L2</f>
        <v>0</v>
      </c>
      <c r="D14" s="203">
        <v>0</v>
      </c>
      <c r="E14" s="204">
        <v>1</v>
      </c>
      <c r="F14" s="190">
        <f t="shared" si="3"/>
        <v>0</v>
      </c>
      <c r="G14" s="189">
        <f t="shared" si="4"/>
        <v>0</v>
      </c>
      <c r="H14" s="213" t="s">
        <v>2</v>
      </c>
      <c r="I14" s="191"/>
      <c r="K14" s="476"/>
    </row>
    <row r="15" spans="1:12">
      <c r="A15" s="183" t="s">
        <v>875</v>
      </c>
      <c r="B15" s="180" t="s">
        <v>882</v>
      </c>
      <c r="C15" s="197">
        <f>K2</f>
        <v>0</v>
      </c>
      <c r="D15" s="203">
        <f>'ER2'!K44</f>
        <v>0</v>
      </c>
      <c r="E15" s="204">
        <f>'ER2'!J44</f>
        <v>0</v>
      </c>
      <c r="F15" s="190">
        <f t="shared" ref="F15" si="5">$C15*D15</f>
        <v>0</v>
      </c>
      <c r="G15" s="189">
        <f t="shared" ref="G15" si="6">$C15*E15</f>
        <v>0</v>
      </c>
      <c r="H15" s="208">
        <f>SUM(F15:G15)</f>
        <v>0</v>
      </c>
      <c r="I15" s="191"/>
      <c r="K15" s="476"/>
    </row>
    <row r="16" spans="1:12">
      <c r="A16" s="186" t="s">
        <v>875</v>
      </c>
      <c r="B16" s="187" t="s">
        <v>883</v>
      </c>
      <c r="C16" s="197">
        <f>B2-C7-I2</f>
        <v>-542.48554893059872</v>
      </c>
      <c r="D16" s="203">
        <f>Fuel!G28</f>
        <v>2.08</v>
      </c>
      <c r="E16" s="204">
        <v>0</v>
      </c>
      <c r="F16" s="190">
        <f t="shared" si="3"/>
        <v>-1128.3699417756454</v>
      </c>
      <c r="G16" s="189">
        <f t="shared" si="4"/>
        <v>0</v>
      </c>
      <c r="H16" s="208">
        <f>SUM(F16:G16)</f>
        <v>-1128.3699417756454</v>
      </c>
      <c r="I16" s="191"/>
      <c r="K16" s="476"/>
    </row>
    <row r="17" spans="1:12">
      <c r="A17" s="186" t="s">
        <v>875</v>
      </c>
      <c r="B17" s="187" t="s">
        <v>884</v>
      </c>
      <c r="C17" s="197">
        <f>C2-SUM(D2:F2)-K2</f>
        <v>5815.7330556516017</v>
      </c>
      <c r="D17" s="203">
        <v>1.1000000000000001</v>
      </c>
      <c r="E17" s="204">
        <v>0</v>
      </c>
      <c r="F17" s="190">
        <f t="shared" si="3"/>
        <v>6397.3063612167625</v>
      </c>
      <c r="G17" s="189">
        <f t="shared" si="4"/>
        <v>0</v>
      </c>
      <c r="H17" s="208">
        <f>SUM(F17:G17)</f>
        <v>6397.3063612167625</v>
      </c>
      <c r="I17" s="191"/>
      <c r="K17" s="476"/>
    </row>
    <row r="18" spans="1:12" ht="32.25" customHeight="1" thickBot="1">
      <c r="A18" s="188" t="s">
        <v>885</v>
      </c>
      <c r="B18" s="188"/>
      <c r="C18" s="198"/>
      <c r="D18" s="192"/>
      <c r="E18" s="205"/>
      <c r="F18" s="209">
        <f>SUM(F7:F17)</f>
        <v>5268.9364194411173</v>
      </c>
      <c r="G18" s="193">
        <f>SUM(G7:G17)</f>
        <v>1842.88</v>
      </c>
      <c r="H18" s="210">
        <f>SUM(H7:H17)</f>
        <v>7111.8164194411174</v>
      </c>
      <c r="I18" s="194">
        <f>SUM(G18)/H18</f>
        <v>0.25912929852382538</v>
      </c>
      <c r="J18" s="855" t="s">
        <v>1422</v>
      </c>
      <c r="K18" s="856"/>
      <c r="L18" s="856"/>
    </row>
    <row r="19" spans="1:12">
      <c r="F19" s="171"/>
      <c r="G19" s="167"/>
      <c r="H19" s="168"/>
      <c r="I19" s="172"/>
      <c r="K19" s="476"/>
    </row>
    <row r="20" spans="1:12">
      <c r="F20" s="171"/>
      <c r="G20" s="167"/>
      <c r="H20" s="168"/>
      <c r="K20" s="476"/>
    </row>
    <row r="21" spans="1:12">
      <c r="A21" s="184" t="s">
        <v>886</v>
      </c>
      <c r="B21" s="185" t="s">
        <v>887</v>
      </c>
      <c r="C21" s="197">
        <f>IF(C16&lt;0,C16,0)</f>
        <v>-542.48554893059872</v>
      </c>
      <c r="D21" s="203">
        <f>Fuel!G28</f>
        <v>2.08</v>
      </c>
      <c r="E21" s="204">
        <v>0</v>
      </c>
      <c r="F21" s="190">
        <f>$C21*D21</f>
        <v>-1128.3699417756454</v>
      </c>
      <c r="G21" s="189">
        <f>IF(C21&gt;0,C21*E21,0)</f>
        <v>0</v>
      </c>
      <c r="H21" s="208">
        <f>SUM(F21:G21)</f>
        <v>-1128.3699417756454</v>
      </c>
      <c r="I21" s="191"/>
      <c r="K21" s="476"/>
    </row>
    <row r="22" spans="1:12" ht="16.5" thickBot="1">
      <c r="A22" s="188" t="s">
        <v>888</v>
      </c>
      <c r="B22" s="188"/>
      <c r="C22" s="198"/>
      <c r="D22" s="192"/>
      <c r="E22" s="205"/>
      <c r="F22" s="209">
        <f>F18-F21</f>
        <v>6397.3063612167625</v>
      </c>
      <c r="G22" s="209">
        <f t="shared" ref="G22:H22" si="7">G18-G21</f>
        <v>1842.88</v>
      </c>
      <c r="H22" s="209">
        <f t="shared" si="7"/>
        <v>8240.1863612167635</v>
      </c>
      <c r="I22" s="215">
        <f>SUM(G22)/H22</f>
        <v>0.22364542732597573</v>
      </c>
      <c r="J22" s="857" t="s">
        <v>889</v>
      </c>
      <c r="K22" s="858"/>
      <c r="L22" s="858"/>
    </row>
  </sheetData>
  <sheetProtection algorithmName="SHA-512" hashValue="oiyI2e1UL1g8kCe4FmvA7sZ74BZsl4zkecLVvUnYxbbg+jjKBHUrwIw0WBqzv9n/5HIEMYn4bQ/TBYh/gDzGdQ==" saltValue="7buwmcprGY7jPo8BRvRkOw==" spinCount="100000" sheet="1" objects="1" scenarios="1"/>
  <mergeCells count="2">
    <mergeCell ref="J18:L18"/>
    <mergeCell ref="J22:L22"/>
  </mergeCells>
  <pageMargins left="0.70866141732283472" right="0.70866141732283472" top="0.74803149606299213" bottom="0.74803149606299213" header="0.31496062992125984" footer="0.31496062992125984"/>
  <pageSetup paperSize="9" scale="4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3">
    <pageSetUpPr fitToPage="1"/>
  </sheetPr>
  <dimension ref="A1:K29"/>
  <sheetViews>
    <sheetView topLeftCell="A7" workbookViewId="0">
      <selection activeCell="C14" sqref="C14"/>
    </sheetView>
  </sheetViews>
  <sheetFormatPr defaultColWidth="9.140625" defaultRowHeight="12.75"/>
  <cols>
    <col min="1" max="6" width="9.140625" style="14"/>
    <col min="7" max="7" width="19.42578125" style="14" bestFit="1" customWidth="1"/>
    <col min="8" max="8" width="18.28515625" style="14" bestFit="1" customWidth="1"/>
    <col min="9" max="9" width="36.7109375" style="14" bestFit="1" customWidth="1"/>
    <col min="10" max="11" width="38.42578125" style="14" customWidth="1"/>
    <col min="12" max="16384" width="9.140625" style="14"/>
  </cols>
  <sheetData>
    <row r="1" spans="1:11">
      <c r="A1" s="52" t="s">
        <v>890</v>
      </c>
      <c r="B1" s="42"/>
      <c r="C1" s="53"/>
      <c r="D1" s="53"/>
      <c r="E1" s="53"/>
      <c r="F1" s="53"/>
      <c r="G1" s="42"/>
      <c r="H1" s="42"/>
      <c r="I1" s="42"/>
      <c r="J1" s="42"/>
      <c r="K1" s="42"/>
    </row>
    <row r="2" spans="1:11">
      <c r="C2" s="656" t="s">
        <v>698</v>
      </c>
      <c r="D2" s="42"/>
      <c r="E2" s="42"/>
      <c r="F2" s="42"/>
      <c r="G2" s="54" t="s">
        <v>803</v>
      </c>
      <c r="H2" s="54" t="s">
        <v>891</v>
      </c>
      <c r="I2" s="42" t="s">
        <v>892</v>
      </c>
      <c r="J2" s="42" t="s">
        <v>893</v>
      </c>
      <c r="K2" s="42" t="s">
        <v>894</v>
      </c>
    </row>
    <row r="3" spans="1:11">
      <c r="C3" s="657"/>
      <c r="D3" s="42"/>
      <c r="E3" s="42"/>
      <c r="F3" s="42"/>
      <c r="G3" s="54" t="s">
        <v>605</v>
      </c>
      <c r="H3" s="54" t="s">
        <v>701</v>
      </c>
      <c r="I3" s="42"/>
      <c r="J3" s="42"/>
      <c r="K3" s="42"/>
    </row>
    <row r="4" spans="1:11">
      <c r="A4" s="55" t="s">
        <v>895</v>
      </c>
      <c r="C4" s="657" t="s">
        <v>705</v>
      </c>
      <c r="D4" s="42"/>
      <c r="E4" s="42"/>
      <c r="F4" s="42"/>
      <c r="G4" s="658">
        <v>1.1000000000000001</v>
      </c>
      <c r="H4" s="606">
        <v>0.20300000000000001</v>
      </c>
      <c r="I4" s="42">
        <v>0</v>
      </c>
      <c r="J4" s="42">
        <v>0</v>
      </c>
      <c r="K4" s="42">
        <v>0</v>
      </c>
    </row>
    <row r="5" spans="1:11">
      <c r="C5" s="657" t="s">
        <v>896</v>
      </c>
      <c r="D5" s="42"/>
      <c r="E5" s="42"/>
      <c r="F5" s="42"/>
      <c r="G5" s="658">
        <v>1.1000000000000001</v>
      </c>
      <c r="H5" s="606">
        <v>0.23200000000000001</v>
      </c>
      <c r="I5" s="42">
        <v>0</v>
      </c>
      <c r="J5" s="42">
        <v>0</v>
      </c>
      <c r="K5" s="42">
        <v>0</v>
      </c>
    </row>
    <row r="6" spans="1:11">
      <c r="C6" s="657" t="s">
        <v>897</v>
      </c>
      <c r="D6" s="42"/>
      <c r="E6" s="42"/>
      <c r="F6" s="42"/>
      <c r="G6" s="658">
        <v>1.1000000000000001</v>
      </c>
      <c r="H6" s="606">
        <v>0.23200000000000001</v>
      </c>
      <c r="I6" s="42">
        <v>0</v>
      </c>
      <c r="J6" s="42">
        <v>0</v>
      </c>
      <c r="K6" s="42">
        <v>0</v>
      </c>
    </row>
    <row r="7" spans="1:11">
      <c r="A7" s="55" t="s">
        <v>898</v>
      </c>
      <c r="C7" s="657" t="s">
        <v>899</v>
      </c>
      <c r="D7" s="42"/>
      <c r="E7" s="42"/>
      <c r="F7" s="42"/>
      <c r="G7" s="658">
        <v>1.1000000000000001</v>
      </c>
      <c r="H7" s="606">
        <v>0.27200000000000002</v>
      </c>
      <c r="I7" s="42">
        <v>0</v>
      </c>
      <c r="J7" s="42">
        <v>0</v>
      </c>
      <c r="K7" s="42">
        <v>0</v>
      </c>
    </row>
    <row r="8" spans="1:11">
      <c r="A8" s="55" t="s">
        <v>900</v>
      </c>
      <c r="C8" s="657" t="s">
        <v>901</v>
      </c>
      <c r="D8" s="42"/>
      <c r="E8" s="42"/>
      <c r="F8" s="42"/>
      <c r="G8" s="658">
        <v>1.1000000000000001</v>
      </c>
      <c r="H8" s="606">
        <v>0.36099999999999999</v>
      </c>
      <c r="I8" s="42">
        <v>0</v>
      </c>
      <c r="J8" s="42">
        <v>0</v>
      </c>
      <c r="K8" s="42">
        <v>0</v>
      </c>
    </row>
    <row r="9" spans="1:11">
      <c r="C9" s="657" t="s">
        <v>902</v>
      </c>
      <c r="D9" s="42"/>
      <c r="E9" s="42"/>
      <c r="F9" s="42"/>
      <c r="G9" s="658">
        <v>1.1000000000000001</v>
      </c>
      <c r="H9" s="606">
        <v>0.36099999999999999</v>
      </c>
      <c r="I9" s="42">
        <v>0</v>
      </c>
      <c r="J9" s="42">
        <v>0</v>
      </c>
      <c r="K9" s="42">
        <v>0</v>
      </c>
    </row>
    <row r="10" spans="1:11">
      <c r="C10" s="657" t="s">
        <v>903</v>
      </c>
      <c r="D10" s="42"/>
      <c r="E10" s="42"/>
      <c r="F10" s="42"/>
      <c r="G10" s="658">
        <v>1.2</v>
      </c>
      <c r="H10" s="606">
        <v>0.39200000000000002</v>
      </c>
      <c r="I10" s="42">
        <v>0</v>
      </c>
      <c r="J10" s="42">
        <v>0</v>
      </c>
      <c r="K10" s="42">
        <v>0</v>
      </c>
    </row>
    <row r="11" spans="1:11">
      <c r="C11" s="657" t="s">
        <v>904</v>
      </c>
      <c r="D11" s="42"/>
      <c r="E11" s="42"/>
      <c r="F11" s="42"/>
      <c r="G11" s="658">
        <v>1.1000000000000001</v>
      </c>
      <c r="H11" s="606">
        <v>0.377</v>
      </c>
      <c r="I11" s="42">
        <v>0</v>
      </c>
      <c r="J11" s="42">
        <v>0</v>
      </c>
      <c r="K11" s="42">
        <v>0</v>
      </c>
    </row>
    <row r="12" spans="1:11">
      <c r="C12" s="657" t="s">
        <v>905</v>
      </c>
      <c r="D12" s="42"/>
      <c r="E12" s="42"/>
      <c r="F12" s="42"/>
      <c r="G12" s="658">
        <v>1.1000000000000001</v>
      </c>
      <c r="H12" s="606">
        <v>0.375</v>
      </c>
      <c r="I12" s="42">
        <v>0</v>
      </c>
      <c r="J12" s="42">
        <v>0</v>
      </c>
      <c r="K12" s="42">
        <v>0</v>
      </c>
    </row>
    <row r="13" spans="1:11">
      <c r="C13" s="657" t="s">
        <v>906</v>
      </c>
      <c r="D13" s="42"/>
      <c r="E13" s="42"/>
      <c r="F13" s="42"/>
      <c r="G13" s="658">
        <v>1.1000000000000001</v>
      </c>
      <c r="H13" s="606">
        <v>2.5000000000000001E-2</v>
      </c>
      <c r="I13" s="42">
        <v>1</v>
      </c>
      <c r="J13" s="42">
        <v>0</v>
      </c>
      <c r="K13" s="42">
        <v>0</v>
      </c>
    </row>
    <row r="14" spans="1:11">
      <c r="C14" s="657" t="s">
        <v>907</v>
      </c>
      <c r="D14" s="42"/>
      <c r="E14" s="42"/>
      <c r="F14" s="42"/>
      <c r="G14" s="658">
        <v>1.1000000000000001</v>
      </c>
      <c r="H14" s="606">
        <v>2.5000000000000001E-2</v>
      </c>
      <c r="I14" s="42">
        <v>1</v>
      </c>
      <c r="J14" s="42">
        <v>0</v>
      </c>
      <c r="K14" s="42">
        <v>0</v>
      </c>
    </row>
    <row r="15" spans="1:11">
      <c r="C15" s="657" t="s">
        <v>908</v>
      </c>
      <c r="D15" s="42"/>
      <c r="E15" s="42"/>
      <c r="F15" s="42"/>
      <c r="G15" s="658">
        <v>1.1000000000000001</v>
      </c>
      <c r="H15" s="606">
        <v>2.5000000000000001E-2</v>
      </c>
      <c r="I15" s="42">
        <v>1</v>
      </c>
      <c r="J15" s="42">
        <v>0</v>
      </c>
      <c r="K15" s="42">
        <v>0</v>
      </c>
    </row>
    <row r="16" spans="1:11">
      <c r="C16" s="657" t="s">
        <v>909</v>
      </c>
      <c r="D16" s="42"/>
      <c r="E16" s="42"/>
      <c r="F16" s="42"/>
      <c r="G16" s="658">
        <v>1.1000000000000001</v>
      </c>
      <c r="H16" s="606">
        <v>2.5000000000000001E-2</v>
      </c>
      <c r="I16" s="42">
        <v>1</v>
      </c>
      <c r="J16" s="42">
        <v>0</v>
      </c>
      <c r="K16" s="42">
        <v>0</v>
      </c>
    </row>
    <row r="17" spans="1:11">
      <c r="C17" s="174" t="s">
        <v>910</v>
      </c>
      <c r="D17" s="42"/>
      <c r="E17" s="42"/>
      <c r="F17" s="42"/>
      <c r="G17" s="659">
        <v>1.1000000000000001</v>
      </c>
      <c r="H17" s="606">
        <v>0.36899999999999999</v>
      </c>
      <c r="I17" s="42">
        <v>0</v>
      </c>
      <c r="J17" s="42">
        <v>0</v>
      </c>
      <c r="K17" s="42">
        <v>0</v>
      </c>
    </row>
    <row r="18" spans="1:11">
      <c r="A18" s="55" t="s">
        <v>637</v>
      </c>
      <c r="C18" s="657" t="s">
        <v>911</v>
      </c>
      <c r="D18" s="42"/>
      <c r="E18" s="42"/>
      <c r="F18" s="42"/>
      <c r="G18" s="658">
        <f>G28</f>
        <v>2.08</v>
      </c>
      <c r="H18" s="606">
        <f>H28</f>
        <v>0.40899999999999997</v>
      </c>
      <c r="I18" s="42">
        <v>0</v>
      </c>
      <c r="J18" s="42">
        <v>0</v>
      </c>
      <c r="K18" s="42">
        <v>0</v>
      </c>
    </row>
    <row r="19" spans="1:11">
      <c r="C19" s="657" t="s">
        <v>912</v>
      </c>
      <c r="D19" s="42"/>
      <c r="E19" s="42"/>
      <c r="F19" s="42"/>
      <c r="G19" s="658">
        <f>G28</f>
        <v>2.08</v>
      </c>
      <c r="H19" s="606">
        <f>H28</f>
        <v>0.40899999999999997</v>
      </c>
      <c r="I19" s="42">
        <v>0</v>
      </c>
      <c r="J19" s="42">
        <v>0</v>
      </c>
      <c r="K19" s="42">
        <v>0</v>
      </c>
    </row>
    <row r="20" spans="1:11">
      <c r="A20" s="25" t="s">
        <v>913</v>
      </c>
      <c r="C20" s="174" t="s">
        <v>914</v>
      </c>
      <c r="D20" s="42"/>
      <c r="E20" s="42"/>
      <c r="F20" s="42"/>
      <c r="G20" s="658">
        <v>1.1000000000000001</v>
      </c>
      <c r="H20" s="174">
        <v>5.7000000000000002E-2</v>
      </c>
      <c r="I20" s="42">
        <v>0</v>
      </c>
      <c r="J20" s="42">
        <v>0</v>
      </c>
      <c r="K20" s="42">
        <v>0</v>
      </c>
    </row>
    <row r="21" spans="1:11">
      <c r="C21" s="174" t="s">
        <v>915</v>
      </c>
      <c r="D21" s="42"/>
      <c r="E21" s="42"/>
      <c r="F21" s="42"/>
      <c r="G21" s="658">
        <v>1.1000000000000001</v>
      </c>
      <c r="H21" s="174">
        <v>2.5000000000000001E-2</v>
      </c>
      <c r="I21" s="42">
        <v>1</v>
      </c>
      <c r="J21" s="42">
        <v>0</v>
      </c>
      <c r="K21" s="42">
        <v>0</v>
      </c>
    </row>
    <row r="22" spans="1:11">
      <c r="C22" s="174" t="s">
        <v>916</v>
      </c>
      <c r="D22" s="42"/>
      <c r="E22" s="42"/>
      <c r="F22" s="42"/>
      <c r="G22" s="658">
        <v>1.05</v>
      </c>
      <c r="H22" s="174">
        <v>1.7999999999999999E-2</v>
      </c>
      <c r="I22" s="42">
        <v>0</v>
      </c>
      <c r="J22" s="42">
        <v>0</v>
      </c>
      <c r="K22" s="42">
        <v>0</v>
      </c>
    </row>
    <row r="23" spans="1:11">
      <c r="C23" s="174" t="s">
        <v>103</v>
      </c>
      <c r="D23" s="42"/>
      <c r="E23" s="42"/>
      <c r="F23" s="42"/>
      <c r="G23" s="660">
        <v>0</v>
      </c>
      <c r="H23" s="660">
        <v>0</v>
      </c>
      <c r="I23" s="54">
        <v>0</v>
      </c>
      <c r="J23" s="54">
        <v>0</v>
      </c>
      <c r="K23" s="54">
        <v>0</v>
      </c>
    </row>
    <row r="24" spans="1:11">
      <c r="A24" s="25" t="s">
        <v>917</v>
      </c>
      <c r="B24" s="42"/>
      <c r="C24" s="583" t="s">
        <v>918</v>
      </c>
      <c r="D24" s="174"/>
      <c r="E24" s="174"/>
      <c r="F24" s="583"/>
      <c r="G24" s="583">
        <v>1.3</v>
      </c>
      <c r="H24" s="583">
        <v>4.7E-2</v>
      </c>
      <c r="I24" s="42">
        <v>0</v>
      </c>
      <c r="J24" s="42">
        <v>1</v>
      </c>
      <c r="K24" s="42">
        <v>0</v>
      </c>
    </row>
    <row r="25" spans="1:11">
      <c r="A25" s="42"/>
      <c r="B25" s="42"/>
      <c r="C25" s="583" t="s">
        <v>919</v>
      </c>
      <c r="D25" s="174"/>
      <c r="E25" s="174"/>
      <c r="F25" s="583"/>
      <c r="G25" s="583">
        <v>1.34</v>
      </c>
      <c r="H25" s="583">
        <v>6.4000000000000001E-2</v>
      </c>
      <c r="I25" s="42">
        <v>0</v>
      </c>
      <c r="J25" s="42">
        <v>0</v>
      </c>
      <c r="K25" s="42">
        <v>1</v>
      </c>
    </row>
    <row r="26" spans="1:11">
      <c r="A26" s="52"/>
      <c r="B26" s="42"/>
      <c r="I26" s="42"/>
      <c r="J26" s="42"/>
      <c r="K26" s="42"/>
    </row>
    <row r="27" spans="1:11">
      <c r="A27" s="54"/>
      <c r="B27" s="42"/>
      <c r="C27" s="42"/>
      <c r="D27" s="42"/>
      <c r="E27" s="42"/>
    </row>
    <row r="28" spans="1:11">
      <c r="A28" s="54"/>
      <c r="B28" s="42"/>
      <c r="C28" s="174" t="s">
        <v>920</v>
      </c>
      <c r="D28" s="42"/>
      <c r="E28" s="42"/>
      <c r="F28" s="42"/>
      <c r="G28" s="646">
        <v>2.08</v>
      </c>
      <c r="H28" s="646">
        <v>0.40899999999999997</v>
      </c>
    </row>
    <row r="29" spans="1:11">
      <c r="A29" s="54"/>
      <c r="B29" s="42"/>
      <c r="C29" s="54"/>
    </row>
  </sheetData>
  <sheetProtection algorithmName="SHA-512" hashValue="pHPpH/5HOhkcDwffqQ/a0uICFaLKhiJllK2ukpoRhjat7CijTxqzjwYgK3eUxbr0mQHXlbhm2hd4ezqMh0Knzg==" saltValue="Iuo99/Sd+6xwdrJeOW1INQ==" spinCount="100000" sheet="1" objects="1" scenarios="1"/>
  <phoneticPr fontId="0" type="noConversion"/>
  <pageMargins left="0.75" right="0.75" top="1" bottom="1" header="0.5" footer="0.5"/>
  <pageSetup paperSize="9" scale="7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1">
    <pageSetUpPr fitToPage="1"/>
  </sheetPr>
  <dimension ref="A1:M36"/>
  <sheetViews>
    <sheetView workbookViewId="0">
      <selection activeCell="J18" sqref="J18"/>
    </sheetView>
  </sheetViews>
  <sheetFormatPr defaultRowHeight="12.75"/>
  <cols>
    <col min="11" max="11" width="9.28515625" customWidth="1"/>
  </cols>
  <sheetData>
    <row r="1" spans="1:13" s="66" customFormat="1" ht="18" customHeight="1">
      <c r="A1" s="23" t="s">
        <v>921</v>
      </c>
      <c r="B1" s="26"/>
      <c r="C1" s="500"/>
      <c r="D1" s="500"/>
      <c r="E1" s="500"/>
      <c r="F1" s="27"/>
      <c r="G1" s="27"/>
      <c r="H1" s="500"/>
      <c r="I1" s="500"/>
      <c r="J1" s="500"/>
      <c r="K1" s="507"/>
      <c r="L1" s="507"/>
      <c r="M1" s="507"/>
    </row>
    <row r="2" spans="1:13" ht="12.75" customHeight="1">
      <c r="A2" s="174" t="s">
        <v>922</v>
      </c>
      <c r="B2" s="14"/>
      <c r="C2" s="14"/>
      <c r="D2" s="14"/>
      <c r="E2" s="14"/>
      <c r="F2" s="14"/>
      <c r="G2" s="14"/>
      <c r="H2" s="14"/>
      <c r="I2" s="14"/>
      <c r="J2" s="14"/>
      <c r="K2" s="14"/>
      <c r="L2" s="174" t="s">
        <v>923</v>
      </c>
      <c r="M2" s="14"/>
    </row>
    <row r="3" spans="1:13" ht="12.75" customHeight="1">
      <c r="A3" s="14"/>
      <c r="B3" s="14"/>
      <c r="C3" s="14"/>
      <c r="D3" s="14"/>
      <c r="E3" s="14"/>
      <c r="F3" s="14"/>
      <c r="G3" s="14"/>
      <c r="H3" s="14"/>
      <c r="I3" s="14"/>
      <c r="J3" s="14"/>
      <c r="K3" s="14"/>
      <c r="L3" s="14"/>
      <c r="M3" s="174"/>
    </row>
    <row r="4" spans="1:13" ht="12.75" customHeight="1">
      <c r="A4" s="14" t="s">
        <v>924</v>
      </c>
      <c r="B4" s="14"/>
      <c r="C4" s="14"/>
      <c r="D4" s="14"/>
      <c r="E4" s="14"/>
      <c r="F4" s="14"/>
      <c r="G4" s="14"/>
      <c r="H4" s="14"/>
      <c r="I4" s="14"/>
      <c r="J4" s="98">
        <v>0</v>
      </c>
      <c r="K4" s="174"/>
      <c r="L4" s="174" t="s">
        <v>925</v>
      </c>
      <c r="M4" s="14"/>
    </row>
    <row r="5" spans="1:13" ht="12.75" customHeight="1">
      <c r="A5" s="14"/>
      <c r="B5" s="14" t="s">
        <v>926</v>
      </c>
      <c r="C5" s="14"/>
      <c r="D5" s="14"/>
      <c r="E5" s="14"/>
      <c r="F5" s="14"/>
      <c r="G5" s="14"/>
      <c r="H5" s="14"/>
      <c r="I5" s="14"/>
      <c r="J5" s="73"/>
      <c r="K5" s="174"/>
      <c r="L5" s="14"/>
      <c r="M5" s="14"/>
    </row>
    <row r="6" spans="1:13" ht="12.75" customHeight="1">
      <c r="A6" s="14" t="s">
        <v>927</v>
      </c>
      <c r="B6" s="14"/>
      <c r="C6" s="14"/>
      <c r="D6" s="14"/>
      <c r="E6" s="14"/>
      <c r="F6" s="14"/>
      <c r="G6" s="14"/>
      <c r="H6" s="14"/>
      <c r="I6" s="14"/>
      <c r="J6" s="98">
        <v>0</v>
      </c>
      <c r="K6" s="174"/>
      <c r="L6" s="174" t="s">
        <v>928</v>
      </c>
      <c r="M6" s="14"/>
    </row>
    <row r="7" spans="1:13" ht="12.75" customHeight="1">
      <c r="A7" s="14" t="s">
        <v>929</v>
      </c>
      <c r="B7" s="14"/>
      <c r="C7" s="14"/>
      <c r="D7" s="14"/>
      <c r="E7" s="14"/>
      <c r="F7" s="14"/>
      <c r="G7" s="14"/>
      <c r="H7" s="14"/>
      <c r="I7" s="14"/>
      <c r="J7" s="98">
        <v>0</v>
      </c>
      <c r="K7" s="174"/>
      <c r="L7" s="174" t="s">
        <v>930</v>
      </c>
      <c r="M7" s="14"/>
    </row>
    <row r="8" spans="1:13" ht="12.75" customHeight="1">
      <c r="A8" s="14" t="s">
        <v>931</v>
      </c>
      <c r="B8" s="14"/>
      <c r="C8" s="14"/>
      <c r="D8" s="14"/>
      <c r="E8" s="14"/>
      <c r="F8" s="14"/>
      <c r="G8" s="14"/>
      <c r="H8" s="14"/>
      <c r="I8" s="14"/>
      <c r="J8" s="99">
        <f>IF(J6=0,0,J7/J6)</f>
        <v>0</v>
      </c>
      <c r="K8" s="174"/>
      <c r="L8" s="174" t="s">
        <v>932</v>
      </c>
      <c r="M8" s="14"/>
    </row>
    <row r="9" spans="1:13" ht="12.75" customHeight="1">
      <c r="A9" s="14" t="s">
        <v>933</v>
      </c>
      <c r="B9" s="14"/>
      <c r="C9" s="14"/>
      <c r="D9" s="14"/>
      <c r="E9" s="14"/>
      <c r="F9" s="14"/>
      <c r="G9" s="14"/>
      <c r="H9" s="14"/>
      <c r="I9" s="14"/>
      <c r="J9" s="100">
        <v>0</v>
      </c>
      <c r="K9" s="174"/>
      <c r="L9" s="174" t="s">
        <v>934</v>
      </c>
      <c r="M9" s="14"/>
    </row>
    <row r="10" spans="1:13" ht="12.75" customHeight="1">
      <c r="A10" s="14" t="s">
        <v>935</v>
      </c>
      <c r="B10" s="14"/>
      <c r="C10" s="14"/>
      <c r="D10" s="14"/>
      <c r="E10" s="14"/>
      <c r="F10" s="14"/>
      <c r="G10" s="14"/>
      <c r="H10" s="14"/>
      <c r="I10" s="14"/>
      <c r="J10" s="101">
        <v>0</v>
      </c>
      <c r="K10" s="174"/>
      <c r="L10" s="174" t="s">
        <v>936</v>
      </c>
      <c r="M10" s="14"/>
    </row>
    <row r="11" spans="1:13" ht="12.75" customHeight="1">
      <c r="A11" s="14" t="s">
        <v>937</v>
      </c>
      <c r="B11" s="14"/>
      <c r="C11" s="14"/>
      <c r="D11" s="14"/>
      <c r="E11" s="14"/>
      <c r="F11" s="14"/>
      <c r="G11" s="14"/>
      <c r="H11" s="14"/>
      <c r="I11" s="14"/>
      <c r="J11" s="102">
        <f>J4*J6*J9*J10</f>
        <v>0</v>
      </c>
      <c r="K11" s="174"/>
      <c r="L11" s="174" t="s">
        <v>938</v>
      </c>
      <c r="M11" s="14"/>
    </row>
    <row r="12" spans="1:13" ht="12.75" customHeight="1">
      <c r="A12" s="14" t="s">
        <v>939</v>
      </c>
      <c r="B12" s="14"/>
      <c r="C12" s="14"/>
      <c r="D12" s="14"/>
      <c r="E12" s="14"/>
      <c r="F12" s="14"/>
      <c r="G12" s="14"/>
      <c r="H12" s="14"/>
      <c r="I12" s="14"/>
      <c r="J12" s="99">
        <f>J11/(WH!F50+WH!G54-WH!F98-WH!F99)</f>
        <v>0</v>
      </c>
      <c r="K12" s="174"/>
      <c r="L12" s="174" t="s">
        <v>940</v>
      </c>
      <c r="M12" s="14"/>
    </row>
    <row r="13" spans="1:13" ht="12.75" customHeight="1">
      <c r="A13" s="14" t="s">
        <v>583</v>
      </c>
      <c r="B13" s="14"/>
      <c r="C13" s="14"/>
      <c r="D13" s="14"/>
      <c r="E13" s="14"/>
      <c r="F13" s="14"/>
      <c r="G13" s="14"/>
      <c r="H13" s="14"/>
      <c r="I13" s="14"/>
      <c r="J13" s="99">
        <f>IF(J12&gt;0,1-EXP(-1/J12),0)</f>
        <v>0</v>
      </c>
      <c r="K13" s="174"/>
      <c r="L13" s="174" t="s">
        <v>941</v>
      </c>
      <c r="M13" s="14"/>
    </row>
    <row r="14" spans="1:13" ht="12.75" customHeight="1">
      <c r="A14" s="14"/>
      <c r="B14" s="14" t="s">
        <v>942</v>
      </c>
      <c r="C14" s="14"/>
      <c r="D14" s="14"/>
      <c r="E14" s="14"/>
      <c r="F14" s="14"/>
      <c r="G14" s="14"/>
      <c r="H14" s="68" t="s">
        <v>98</v>
      </c>
      <c r="I14" s="73"/>
      <c r="J14" s="103">
        <f>VLOOKUP(H14,A33:B36,2,FALSE)</f>
        <v>1</v>
      </c>
      <c r="K14" s="174"/>
      <c r="L14" s="14"/>
      <c r="M14" s="14"/>
    </row>
    <row r="15" spans="1:13" ht="12.75" customHeight="1">
      <c r="A15" s="14"/>
      <c r="B15" s="14" t="s">
        <v>943</v>
      </c>
      <c r="C15" s="14"/>
      <c r="D15" s="14"/>
      <c r="E15" s="14"/>
      <c r="F15" s="14"/>
      <c r="G15" s="14"/>
      <c r="H15" s="73"/>
      <c r="I15" s="73"/>
      <c r="J15" s="104">
        <f>IF(J14,J13,J13*0.9)</f>
        <v>0</v>
      </c>
      <c r="K15" s="174"/>
      <c r="L15" s="14"/>
      <c r="M15" s="14"/>
    </row>
    <row r="16" spans="1:13" ht="12.75" customHeight="1">
      <c r="A16" s="14" t="s">
        <v>944</v>
      </c>
      <c r="B16" s="14"/>
      <c r="C16" s="14"/>
      <c r="D16" s="14"/>
      <c r="E16" s="14"/>
      <c r="F16" s="14"/>
      <c r="G16" s="14"/>
      <c r="H16" s="73"/>
      <c r="I16" s="73"/>
      <c r="J16" s="155">
        <f>IF(J8&lt;20, 0.87 - 0.034*J8 + 0.0006*J8^2, 0.604-0.0087*J8)</f>
        <v>0.87</v>
      </c>
      <c r="K16" s="174"/>
      <c r="L16" s="150" t="s">
        <v>945</v>
      </c>
      <c r="M16" s="14"/>
    </row>
    <row r="17" spans="1:13" ht="12.75" customHeight="1">
      <c r="A17" s="14" t="s">
        <v>946</v>
      </c>
      <c r="B17" s="14"/>
      <c r="C17" s="14"/>
      <c r="D17" s="14"/>
      <c r="E17" s="14"/>
      <c r="F17" s="14"/>
      <c r="G17" s="14"/>
      <c r="H17" s="73"/>
      <c r="I17" s="73"/>
      <c r="J17" s="98">
        <v>0</v>
      </c>
      <c r="K17" s="174"/>
      <c r="L17" s="150" t="s">
        <v>947</v>
      </c>
      <c r="M17" s="14"/>
    </row>
    <row r="18" spans="1:13" ht="12.75" customHeight="1">
      <c r="A18" s="14"/>
      <c r="B18" s="14" t="s">
        <v>948</v>
      </c>
      <c r="C18" s="14"/>
      <c r="D18" s="14"/>
      <c r="E18" s="14"/>
      <c r="F18" s="14"/>
      <c r="G18" s="14"/>
      <c r="H18" s="73"/>
      <c r="I18" s="73"/>
      <c r="J18" s="103"/>
      <c r="K18" s="174"/>
      <c r="L18" s="14"/>
      <c r="M18" s="14"/>
    </row>
    <row r="19" spans="1:13" ht="12.75" customHeight="1">
      <c r="A19" s="14" t="s">
        <v>949</v>
      </c>
      <c r="B19" s="14"/>
      <c r="C19" s="14"/>
      <c r="D19" s="14"/>
      <c r="E19" s="14"/>
      <c r="F19" s="14"/>
      <c r="G19" s="14"/>
      <c r="H19" s="73"/>
      <c r="I19" s="68" t="s">
        <v>98</v>
      </c>
      <c r="J19" s="105">
        <f>VLOOKUP(I19,A33:B35,2,FALSE)</f>
        <v>1</v>
      </c>
      <c r="K19" s="14"/>
      <c r="L19" s="14"/>
      <c r="M19" s="14"/>
    </row>
    <row r="20" spans="1:13" ht="12.75" customHeight="1">
      <c r="A20" s="14"/>
      <c r="B20" s="14" t="s">
        <v>950</v>
      </c>
      <c r="C20" s="14"/>
      <c r="D20" s="14"/>
      <c r="E20" s="14"/>
      <c r="F20" s="14"/>
      <c r="G20" s="14"/>
      <c r="H20" s="14"/>
      <c r="I20" s="14"/>
      <c r="J20" s="105">
        <f>cylVol</f>
        <v>120</v>
      </c>
      <c r="K20" s="174" t="str">
        <f>IF(AND(J19,J20&lt;J17),"Error: solar storage within combined cylinder can't exceed total volume.", "-")</f>
        <v>-</v>
      </c>
      <c r="L20" s="174" t="s">
        <v>951</v>
      </c>
      <c r="M20" s="14"/>
    </row>
    <row r="21" spans="1:13" ht="12.75" customHeight="1">
      <c r="A21" s="14" t="s">
        <v>952</v>
      </c>
      <c r="B21" s="14"/>
      <c r="C21" s="14"/>
      <c r="D21" s="14"/>
      <c r="E21" s="14"/>
      <c r="F21" s="14"/>
      <c r="G21" s="14"/>
      <c r="H21" s="14"/>
      <c r="I21" s="14"/>
      <c r="J21" s="105">
        <f>IF(J19,J17+0.3*(J20-J17),J17)</f>
        <v>36</v>
      </c>
      <c r="K21" s="174"/>
      <c r="L21" s="174" t="s">
        <v>953</v>
      </c>
      <c r="M21" s="14"/>
    </row>
    <row r="22" spans="1:13" ht="12.75" customHeight="1">
      <c r="A22" s="216" t="s">
        <v>954</v>
      </c>
      <c r="B22" s="14"/>
      <c r="C22" s="14"/>
      <c r="D22" s="14"/>
      <c r="E22" s="14"/>
      <c r="F22" s="14"/>
      <c r="G22" s="14"/>
      <c r="H22" s="14"/>
      <c r="I22" s="14"/>
      <c r="J22" s="102">
        <f>WH!F47</f>
        <v>123.43092281667526</v>
      </c>
      <c r="K22" s="14"/>
      <c r="L22" s="174" t="s">
        <v>955</v>
      </c>
      <c r="M22" s="14"/>
    </row>
    <row r="23" spans="1:13" ht="12.75" customHeight="1">
      <c r="A23" s="14" t="s">
        <v>956</v>
      </c>
      <c r="B23" s="14"/>
      <c r="C23" s="14"/>
      <c r="D23" s="14"/>
      <c r="E23" s="14"/>
      <c r="F23" s="14"/>
      <c r="G23" s="14"/>
      <c r="H23" s="14"/>
      <c r="I23" s="14"/>
      <c r="J23" s="99">
        <f>J21/J22</f>
        <v>0.29166111034808267</v>
      </c>
      <c r="K23" s="14"/>
      <c r="L23" s="174" t="s">
        <v>957</v>
      </c>
      <c r="M23" s="14"/>
    </row>
    <row r="24" spans="1:13" ht="12.75" customHeight="1">
      <c r="A24" s="14" t="s">
        <v>958</v>
      </c>
      <c r="B24" s="14"/>
      <c r="C24" s="14"/>
      <c r="D24" s="14"/>
      <c r="E24" s="14"/>
      <c r="F24" s="14"/>
      <c r="G24" s="14"/>
      <c r="H24" s="14"/>
      <c r="I24" s="14"/>
      <c r="J24" s="99">
        <f>IF(J23=0,0,1+0.2*LN(J23))</f>
        <v>0.75356745365815292</v>
      </c>
      <c r="K24" s="14"/>
      <c r="L24" s="174" t="s">
        <v>959</v>
      </c>
      <c r="M24" s="14"/>
    </row>
    <row r="25" spans="1:13" ht="12.75" customHeight="1">
      <c r="A25" s="14" t="s">
        <v>430</v>
      </c>
      <c r="B25" s="14"/>
      <c r="C25" s="14"/>
      <c r="D25" s="14"/>
      <c r="E25" s="14"/>
      <c r="F25" s="14"/>
      <c r="G25" s="14"/>
      <c r="H25" s="14"/>
      <c r="I25" s="14"/>
      <c r="J25" s="106">
        <f>J11*J15*J16*J24</f>
        <v>0</v>
      </c>
      <c r="K25" s="14"/>
      <c r="L25" s="174" t="s">
        <v>960</v>
      </c>
      <c r="M25" s="14"/>
    </row>
    <row r="26" spans="1:13" ht="12.75" customHeight="1">
      <c r="A26" s="14"/>
      <c r="B26" s="14"/>
      <c r="C26" s="14"/>
      <c r="D26" s="14"/>
      <c r="E26" s="14"/>
      <c r="F26" s="14"/>
      <c r="G26" s="14"/>
      <c r="H26" s="14"/>
      <c r="I26" s="14"/>
      <c r="J26" s="56"/>
      <c r="K26" s="14"/>
      <c r="L26" s="14"/>
      <c r="M26" s="14"/>
    </row>
    <row r="27" spans="1:13" ht="12.75" customHeight="1">
      <c r="A27" s="14" t="s">
        <v>961</v>
      </c>
      <c r="B27" s="14"/>
      <c r="C27" s="14"/>
      <c r="D27" s="14"/>
      <c r="E27" s="14"/>
      <c r="F27" s="14"/>
      <c r="G27" s="14"/>
      <c r="H27" s="14"/>
      <c r="I27" s="14"/>
      <c r="J27" s="56"/>
      <c r="K27" s="14"/>
      <c r="L27" s="14"/>
      <c r="M27" s="14"/>
    </row>
    <row r="28" spans="1:13" ht="12.75" customHeight="1">
      <c r="A28" s="14" t="s">
        <v>962</v>
      </c>
      <c r="B28" s="14"/>
      <c r="C28" s="14"/>
      <c r="D28" s="14"/>
      <c r="E28" s="14"/>
      <c r="F28" s="14"/>
      <c r="G28" s="14"/>
      <c r="H28" s="14"/>
      <c r="I28" s="14"/>
      <c r="J28" s="14"/>
      <c r="K28" s="14"/>
      <c r="L28" s="14"/>
      <c r="M28" s="14"/>
    </row>
    <row r="29" spans="1:13" ht="12.75" customHeight="1">
      <c r="A29" s="57" t="s">
        <v>963</v>
      </c>
      <c r="B29" s="57"/>
      <c r="C29" s="57"/>
      <c r="D29" s="57"/>
      <c r="E29" s="57"/>
      <c r="F29" s="57"/>
      <c r="G29" s="57"/>
      <c r="H29" s="57"/>
      <c r="I29" s="57"/>
      <c r="J29" s="57"/>
      <c r="K29" s="57"/>
      <c r="L29" s="14"/>
      <c r="M29" s="14"/>
    </row>
    <row r="30" spans="1:13" ht="12.75" customHeight="1">
      <c r="A30" s="14"/>
      <c r="B30" s="14"/>
      <c r="C30" s="14"/>
      <c r="D30" s="14"/>
      <c r="E30" s="14"/>
      <c r="F30" s="14"/>
      <c r="G30" s="14"/>
      <c r="H30" s="14"/>
      <c r="I30" s="14"/>
      <c r="J30" s="14"/>
      <c r="K30" s="14"/>
      <c r="L30" s="14"/>
      <c r="M30" s="14"/>
    </row>
    <row r="31" spans="1:13" ht="12.75" customHeight="1">
      <c r="A31" s="174"/>
      <c r="B31" s="174"/>
      <c r="C31" s="14"/>
      <c r="D31" s="14"/>
      <c r="E31" s="14"/>
      <c r="F31" s="14"/>
      <c r="G31" s="14"/>
      <c r="H31" s="14"/>
      <c r="I31" s="14"/>
      <c r="J31" s="14"/>
      <c r="K31" s="14"/>
      <c r="L31" s="14"/>
      <c r="M31" s="14"/>
    </row>
    <row r="32" spans="1:13" ht="12.75" customHeight="1">
      <c r="A32" s="15" t="s">
        <v>964</v>
      </c>
      <c r="B32" s="11"/>
      <c r="C32" s="11"/>
      <c r="D32" s="11"/>
      <c r="E32" s="11"/>
      <c r="F32" s="11"/>
      <c r="G32" s="11"/>
      <c r="H32" s="11"/>
      <c r="I32" s="212"/>
      <c r="J32" s="212"/>
      <c r="K32" s="212"/>
      <c r="L32" s="212"/>
      <c r="M32" s="212"/>
    </row>
    <row r="33" spans="1:8" ht="12.75" customHeight="1">
      <c r="A33" s="556" t="s">
        <v>103</v>
      </c>
      <c r="B33" s="11">
        <v>0</v>
      </c>
      <c r="C33" s="11"/>
      <c r="D33" s="11"/>
      <c r="E33" s="11"/>
      <c r="F33" s="11"/>
      <c r="G33" s="11"/>
      <c r="H33" s="11"/>
    </row>
    <row r="34" spans="1:8" ht="12.75" customHeight="1">
      <c r="A34" s="12" t="s">
        <v>98</v>
      </c>
      <c r="B34" s="212">
        <v>1</v>
      </c>
      <c r="C34" s="212"/>
      <c r="D34" s="212"/>
      <c r="E34" s="212"/>
      <c r="F34" s="212"/>
      <c r="G34" s="212"/>
      <c r="H34" s="212"/>
    </row>
    <row r="35" spans="1:8" ht="12.75" customHeight="1">
      <c r="A35" s="12" t="s">
        <v>99</v>
      </c>
      <c r="B35" s="212">
        <v>0</v>
      </c>
      <c r="C35" s="212"/>
      <c r="D35" s="212"/>
      <c r="E35" s="212"/>
      <c r="F35" s="212"/>
      <c r="G35" s="212"/>
      <c r="H35" s="212"/>
    </row>
    <row r="36" spans="1:8">
      <c r="A36" s="12" t="s">
        <v>762</v>
      </c>
      <c r="B36" s="212">
        <v>1</v>
      </c>
      <c r="C36" s="212"/>
      <c r="D36" s="212"/>
      <c r="E36" s="212"/>
      <c r="F36" s="212"/>
      <c r="G36" s="212"/>
      <c r="H36" s="212"/>
    </row>
  </sheetData>
  <sheetProtection algorithmName="SHA-512" hashValue="E2ETQb6OCcH6BgnQkWtgWRldCWUWTTHp/LUc2+8U540kglZXQzFPHF4PXFP5A/oQzB4sSFnLo5wXhcrumDngRg==" saltValue="qs19Yjj4QLHlOC7AWrnLeA==" spinCount="100000" sheet="1" objects="1" scenarios="1"/>
  <phoneticPr fontId="0" type="noConversion"/>
  <dataValidations count="2">
    <dataValidation type="list" allowBlank="1" showInputMessage="1" showErrorMessage="1" errorTitle="DEAP " error="Please select item from drop-down list." sqref="I19" xr:uid="{00000000-0002-0000-1000-000000000000}">
      <formula1>$A$33:$A$35</formula1>
    </dataValidation>
    <dataValidation type="list" allowBlank="1" showInputMessage="1" showErrorMessage="1" errorTitle="DEAP " error="Please select item from drop-down list." sqref="H14" xr:uid="{00000000-0002-0000-1000-000001000000}">
      <formula1>$A$33:$A$36</formula1>
    </dataValidation>
  </dataValidations>
  <pageMargins left="0.62" right="0.55000000000000004" top="1" bottom="1" header="0.5" footer="0.5"/>
  <pageSetup paperSize="9" scale="9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M28"/>
  <sheetViews>
    <sheetView topLeftCell="A7" workbookViewId="0">
      <selection activeCell="C14" sqref="C14"/>
    </sheetView>
  </sheetViews>
  <sheetFormatPr defaultRowHeight="12.75"/>
  <sheetData>
    <row r="1" spans="1:13" s="66" customFormat="1" ht="18" customHeight="1">
      <c r="A1" s="23" t="s">
        <v>965</v>
      </c>
      <c r="B1" s="26"/>
      <c r="C1" s="500"/>
      <c r="D1" s="500"/>
      <c r="E1" s="500"/>
      <c r="F1" s="27"/>
      <c r="G1" s="27"/>
      <c r="H1" s="500"/>
      <c r="I1" s="500"/>
      <c r="J1" s="507"/>
      <c r="K1" s="507"/>
      <c r="L1" s="507"/>
      <c r="M1" s="507"/>
    </row>
    <row r="2" spans="1:13">
      <c r="A2" s="13" t="s">
        <v>966</v>
      </c>
      <c r="B2" s="13"/>
      <c r="C2" s="14"/>
      <c r="D2" s="14"/>
      <c r="E2" s="14"/>
      <c r="F2" s="14"/>
      <c r="G2" s="14"/>
      <c r="H2" s="14"/>
      <c r="I2" s="14"/>
      <c r="J2" s="14"/>
      <c r="K2" s="14"/>
      <c r="L2" s="14"/>
      <c r="M2" s="14"/>
    </row>
    <row r="3" spans="1:13">
      <c r="A3" s="174" t="s">
        <v>967</v>
      </c>
      <c r="B3" s="14"/>
      <c r="C3" s="14"/>
      <c r="D3" s="14"/>
      <c r="E3" s="14"/>
      <c r="F3" s="14"/>
      <c r="G3" s="14"/>
      <c r="H3" s="14"/>
      <c r="I3" s="14"/>
      <c r="J3" s="14"/>
      <c r="K3" s="14"/>
      <c r="L3" s="14"/>
      <c r="M3" s="14"/>
    </row>
    <row r="4" spans="1:13">
      <c r="A4" s="14"/>
      <c r="B4" s="14"/>
      <c r="C4" s="14"/>
      <c r="D4" s="14"/>
      <c r="E4" s="14"/>
      <c r="F4" s="14"/>
      <c r="G4" s="14"/>
      <c r="H4" s="14"/>
      <c r="I4" s="14"/>
      <c r="J4" s="14"/>
      <c r="K4" s="14"/>
      <c r="L4" s="14"/>
      <c r="M4" s="14"/>
    </row>
    <row r="5" spans="1:13" ht="14.25">
      <c r="A5" s="14" t="s">
        <v>119</v>
      </c>
      <c r="B5" s="14"/>
      <c r="C5" s="14"/>
      <c r="D5" s="14"/>
      <c r="E5" s="14"/>
      <c r="F5" s="14"/>
      <c r="G5" s="107">
        <f>volume</f>
        <v>321.3</v>
      </c>
      <c r="H5" s="14"/>
      <c r="I5" s="14"/>
      <c r="J5" s="14"/>
      <c r="K5" s="14"/>
      <c r="L5" s="14"/>
      <c r="M5" s="14"/>
    </row>
    <row r="6" spans="1:13">
      <c r="A6" s="14" t="s">
        <v>968</v>
      </c>
      <c r="B6" s="14"/>
      <c r="C6" s="14"/>
      <c r="D6" s="14"/>
      <c r="E6" s="14"/>
      <c r="F6" s="14"/>
      <c r="G6" s="68">
        <v>0.8</v>
      </c>
      <c r="H6" s="14"/>
      <c r="I6" s="14"/>
      <c r="J6" s="14"/>
      <c r="K6" s="14"/>
      <c r="L6" s="14"/>
      <c r="M6" s="14"/>
    </row>
    <row r="7" spans="1:13">
      <c r="A7" s="14" t="s">
        <v>969</v>
      </c>
      <c r="B7" s="14"/>
      <c r="C7" s="14"/>
      <c r="D7" s="14"/>
      <c r="E7" s="14"/>
      <c r="F7" s="14"/>
      <c r="G7" s="107">
        <f>0.33*G6*G5</f>
        <v>84.8232</v>
      </c>
      <c r="H7" s="14"/>
      <c r="I7" s="14"/>
      <c r="J7" s="14"/>
      <c r="K7" s="14"/>
      <c r="L7" s="14"/>
      <c r="M7" s="14"/>
    </row>
    <row r="8" spans="1:13">
      <c r="A8" s="14" t="s">
        <v>970</v>
      </c>
      <c r="B8" s="14"/>
      <c r="C8" s="14"/>
      <c r="D8" s="14"/>
      <c r="E8" s="14"/>
      <c r="F8" s="14"/>
      <c r="G8" s="107">
        <f>Fab!F24</f>
        <v>67.537785714285704</v>
      </c>
      <c r="H8" s="14"/>
      <c r="I8" s="14"/>
      <c r="J8" s="14"/>
      <c r="K8" s="14"/>
      <c r="L8" s="14"/>
      <c r="M8" s="14"/>
    </row>
    <row r="9" spans="1:13">
      <c r="A9" s="14" t="s">
        <v>971</v>
      </c>
      <c r="B9" s="14"/>
      <c r="C9" s="14"/>
      <c r="D9" s="14"/>
      <c r="E9" s="14"/>
      <c r="F9" s="14"/>
      <c r="G9" s="107">
        <f>G7+G8</f>
        <v>152.3609857142857</v>
      </c>
      <c r="H9" s="14"/>
      <c r="I9" s="14"/>
      <c r="J9" s="14"/>
      <c r="K9" s="14"/>
      <c r="L9" s="14"/>
      <c r="M9" s="14"/>
    </row>
    <row r="10" spans="1:13">
      <c r="A10" s="14"/>
      <c r="B10" s="14"/>
      <c r="C10" s="14"/>
      <c r="D10" s="14"/>
      <c r="E10" s="14"/>
      <c r="F10" s="14"/>
      <c r="G10" s="73"/>
      <c r="H10" s="14"/>
      <c r="I10" s="14"/>
      <c r="J10" s="14"/>
      <c r="K10" s="14"/>
      <c r="L10" s="14"/>
      <c r="M10" s="14"/>
    </row>
    <row r="11" spans="1:13" ht="14.25">
      <c r="A11" s="14" t="s">
        <v>972</v>
      </c>
      <c r="B11" s="14"/>
      <c r="C11" s="14"/>
      <c r="D11" s="14"/>
      <c r="E11" s="14"/>
      <c r="F11" s="14"/>
      <c r="G11" s="107">
        <f>Win!F50</f>
        <v>104.612067</v>
      </c>
      <c r="H11" s="14"/>
      <c r="I11" s="14"/>
      <c r="J11" s="14"/>
      <c r="K11" s="14"/>
      <c r="L11" s="14"/>
      <c r="M11" s="14"/>
    </row>
    <row r="12" spans="1:13">
      <c r="A12" s="14" t="s">
        <v>973</v>
      </c>
      <c r="B12" s="14"/>
      <c r="C12" s="14"/>
      <c r="D12" s="14"/>
      <c r="E12" s="14"/>
      <c r="F12" s="14"/>
      <c r="G12" s="107">
        <f>Light!E70</f>
        <v>503.54221759880693</v>
      </c>
      <c r="H12" s="14"/>
      <c r="I12" s="14"/>
      <c r="J12" s="14"/>
      <c r="K12" s="14"/>
      <c r="L12" s="14"/>
      <c r="M12" s="14"/>
    </row>
    <row r="13" spans="1:13">
      <c r="A13" s="14" t="s">
        <v>974</v>
      </c>
      <c r="B13" s="14"/>
      <c r="C13" s="14"/>
      <c r="D13" s="14"/>
      <c r="E13" s="14"/>
      <c r="F13" s="14"/>
      <c r="G13" s="107">
        <f>G11+G12</f>
        <v>608.15428459880695</v>
      </c>
      <c r="H13" s="14"/>
      <c r="I13" s="14"/>
      <c r="J13" s="14"/>
      <c r="K13" s="14"/>
      <c r="L13" s="14"/>
      <c r="M13" s="14"/>
    </row>
    <row r="14" spans="1:13">
      <c r="A14" s="14" t="s">
        <v>975</v>
      </c>
      <c r="B14" s="14"/>
      <c r="C14" s="14"/>
      <c r="D14" s="14"/>
      <c r="E14" s="14"/>
      <c r="F14" s="14"/>
      <c r="G14" s="108">
        <f>IF(G9=0,0,G13/G9)</f>
        <v>3.9915355085667779</v>
      </c>
      <c r="H14" s="14"/>
      <c r="I14" s="14"/>
      <c r="J14" s="14"/>
      <c r="K14" s="14"/>
      <c r="L14" s="14"/>
      <c r="M14" s="14"/>
    </row>
    <row r="15" spans="1:13">
      <c r="A15" s="14" t="s">
        <v>976</v>
      </c>
      <c r="B15" s="14"/>
      <c r="C15" s="14"/>
      <c r="D15" s="14"/>
      <c r="E15" s="14"/>
      <c r="F15" s="14"/>
      <c r="G15" s="68">
        <v>15</v>
      </c>
      <c r="H15" s="14" t="s">
        <v>977</v>
      </c>
      <c r="I15" s="14"/>
      <c r="J15" s="14"/>
      <c r="K15" s="14"/>
      <c r="L15" s="14"/>
      <c r="M15" s="14"/>
    </row>
    <row r="16" spans="1:13" ht="14.25">
      <c r="A16" s="14" t="s">
        <v>978</v>
      </c>
      <c r="B16" s="14"/>
      <c r="C16" s="14"/>
      <c r="D16" s="14"/>
      <c r="E16" s="14"/>
      <c r="F16" s="14"/>
      <c r="G16" s="92">
        <f>HtUse!G11</f>
        <v>0.2</v>
      </c>
      <c r="H16" s="14"/>
      <c r="I16" s="14"/>
      <c r="J16" s="14"/>
      <c r="K16" s="14"/>
      <c r="L16" s="14"/>
      <c r="M16" s="14"/>
    </row>
    <row r="17" spans="1:13">
      <c r="A17" s="14"/>
      <c r="B17" s="58" t="s">
        <v>979</v>
      </c>
      <c r="C17" s="14"/>
      <c r="D17" s="14"/>
      <c r="E17" s="14"/>
      <c r="F17" s="14"/>
      <c r="G17" s="92"/>
      <c r="H17" s="14"/>
      <c r="I17" s="14"/>
      <c r="J17" s="14"/>
      <c r="K17" s="14"/>
      <c r="L17" s="14"/>
      <c r="M17" s="14"/>
    </row>
    <row r="18" spans="1:13">
      <c r="A18" s="14" t="s">
        <v>980</v>
      </c>
      <c r="B18" s="14"/>
      <c r="C18" s="14"/>
      <c r="D18" s="14"/>
      <c r="E18" s="14"/>
      <c r="F18" s="14"/>
      <c r="G18" s="108">
        <f>IF(G16&gt;=0.28,0,2-7*G16)</f>
        <v>0.59999999999999987</v>
      </c>
      <c r="H18" s="14"/>
      <c r="I18" s="14"/>
      <c r="J18" s="14"/>
      <c r="K18" s="14"/>
      <c r="L18" s="14"/>
      <c r="M18" s="14"/>
    </row>
    <row r="19" spans="1:13">
      <c r="A19" s="14" t="s">
        <v>981</v>
      </c>
      <c r="B19" s="14"/>
      <c r="C19" s="14"/>
      <c r="D19" s="14"/>
      <c r="E19" s="14"/>
      <c r="F19" s="14"/>
      <c r="G19" s="109">
        <f>G15+G14+G18</f>
        <v>19.591535508566778</v>
      </c>
      <c r="H19" s="14"/>
      <c r="I19" s="14"/>
      <c r="J19" s="14"/>
      <c r="K19" s="14"/>
      <c r="L19" s="14"/>
      <c r="M19" s="14"/>
    </row>
    <row r="20" spans="1:13">
      <c r="A20" s="14"/>
      <c r="B20" s="14"/>
      <c r="C20" s="14"/>
      <c r="D20" s="14"/>
      <c r="E20" s="14"/>
      <c r="F20" s="14"/>
      <c r="G20" s="14"/>
      <c r="H20" s="14"/>
      <c r="I20" s="14"/>
      <c r="J20" s="14"/>
      <c r="K20" s="14"/>
      <c r="L20" s="14"/>
      <c r="M20" s="14"/>
    </row>
    <row r="21" spans="1:13">
      <c r="A21" s="14"/>
      <c r="B21" s="14"/>
      <c r="C21" s="14"/>
      <c r="D21" s="14"/>
      <c r="E21" s="14"/>
      <c r="F21" s="14"/>
      <c r="G21" s="14"/>
      <c r="H21" s="14"/>
      <c r="I21" s="14"/>
      <c r="J21" s="14"/>
      <c r="K21" s="14"/>
      <c r="L21" s="14"/>
      <c r="M21" s="14"/>
    </row>
    <row r="22" spans="1:13">
      <c r="A22" s="3" t="s">
        <v>982</v>
      </c>
      <c r="B22" s="212"/>
      <c r="C22" s="212"/>
      <c r="D22" s="212"/>
      <c r="E22" s="212"/>
      <c r="F22" s="212"/>
      <c r="G22" s="212"/>
      <c r="H22" s="212"/>
      <c r="I22" s="212"/>
      <c r="J22" s="212"/>
      <c r="K22" s="212"/>
      <c r="L22" s="212"/>
      <c r="M22" s="212"/>
    </row>
    <row r="23" spans="1:13">
      <c r="A23" s="212" t="s">
        <v>205</v>
      </c>
      <c r="B23" s="661">
        <v>78</v>
      </c>
      <c r="C23" s="4"/>
      <c r="D23" s="212"/>
      <c r="E23" s="212"/>
      <c r="F23" s="212"/>
      <c r="G23" s="212"/>
      <c r="H23" s="212"/>
      <c r="I23" s="212"/>
      <c r="J23" s="212"/>
      <c r="K23" s="212"/>
      <c r="L23" s="212"/>
      <c r="M23" s="212"/>
    </row>
    <row r="24" spans="1:13">
      <c r="A24" s="212" t="s">
        <v>233</v>
      </c>
      <c r="B24" s="661">
        <v>93</v>
      </c>
      <c r="C24" s="4"/>
      <c r="D24" s="212"/>
      <c r="E24" s="212"/>
      <c r="F24" s="212"/>
      <c r="G24" s="212"/>
      <c r="H24" s="212"/>
      <c r="I24" s="212"/>
      <c r="J24" s="212"/>
      <c r="K24" s="212"/>
      <c r="L24" s="212"/>
      <c r="M24" s="212"/>
    </row>
    <row r="25" spans="1:13">
      <c r="A25" s="212" t="s">
        <v>203</v>
      </c>
      <c r="B25" s="661">
        <v>111</v>
      </c>
      <c r="C25" s="4"/>
      <c r="D25" s="212"/>
      <c r="E25" s="212"/>
      <c r="F25" s="212"/>
      <c r="G25" s="212"/>
      <c r="H25" s="212"/>
      <c r="I25" s="212"/>
      <c r="J25" s="212"/>
      <c r="K25" s="212"/>
      <c r="L25" s="212"/>
      <c r="M25" s="212"/>
    </row>
    <row r="26" spans="1:13">
      <c r="A26" s="212" t="s">
        <v>206</v>
      </c>
      <c r="B26" s="661">
        <v>115</v>
      </c>
      <c r="C26" s="4"/>
      <c r="D26" s="212"/>
      <c r="E26" s="212"/>
      <c r="F26" s="212"/>
      <c r="G26" s="212"/>
      <c r="H26" s="212"/>
      <c r="I26" s="212"/>
      <c r="J26" s="212"/>
      <c r="K26" s="212"/>
      <c r="L26" s="212"/>
      <c r="M26" s="212"/>
    </row>
    <row r="27" spans="1:13">
      <c r="A27" s="212" t="s">
        <v>204</v>
      </c>
      <c r="B27" s="661">
        <v>110</v>
      </c>
      <c r="C27" s="4"/>
      <c r="D27" s="212"/>
      <c r="E27" s="212"/>
      <c r="F27" s="212"/>
      <c r="G27" s="212"/>
      <c r="H27" s="212"/>
      <c r="I27" s="212"/>
      <c r="J27" s="212"/>
      <c r="K27" s="212"/>
      <c r="L27" s="212"/>
      <c r="M27" s="212"/>
    </row>
    <row r="28" spans="1:13">
      <c r="A28" s="212" t="s">
        <v>207</v>
      </c>
      <c r="B28" s="661">
        <v>185</v>
      </c>
      <c r="C28" s="4"/>
      <c r="D28" s="212"/>
      <c r="E28" s="212"/>
      <c r="F28" s="212"/>
      <c r="G28" s="212"/>
      <c r="H28" s="212"/>
      <c r="I28" s="212"/>
      <c r="J28" s="212"/>
      <c r="K28" s="212"/>
      <c r="L28" s="212"/>
      <c r="M28" s="212"/>
    </row>
  </sheetData>
  <sheetProtection algorithmName="SHA-512" hashValue="8+QsExWyaCvxKKqwgr/DFERcQklflNS86tOPAyB5LhUsZFCiU1/9Thx3x8cWZ+nlms4vDqK1a3YWpaWVsb2yAw==" saltValue="1M69Dt+qxyjfMDIKT7ARwA==" spinCount="100000" sheet="1" objects="1" scenarios="1"/>
  <phoneticPr fontId="0" type="noConversion"/>
  <pageMargins left="0.55000000000000004" right="0.5699999999999999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5AB73-AB62-4D31-B3A4-B325A6C0A5F1}">
  <sheetPr codeName="Sheet17"/>
  <dimension ref="A1:FA135"/>
  <sheetViews>
    <sheetView topLeftCell="A106" zoomScale="90" zoomScaleNormal="70" workbookViewId="0">
      <selection activeCell="D121" sqref="D121"/>
    </sheetView>
  </sheetViews>
  <sheetFormatPr defaultColWidth="9.140625" defaultRowHeight="15.75"/>
  <cols>
    <col min="1" max="1" width="65.7109375" style="167" customWidth="1"/>
    <col min="2" max="2" width="43.140625" style="167" customWidth="1"/>
    <col min="3" max="3" width="17.5703125" style="167" customWidth="1"/>
    <col min="4" max="4" width="18.7109375" style="171" customWidth="1"/>
    <col min="5" max="5" width="18" style="171" customWidth="1"/>
    <col min="6" max="6" width="19.7109375" style="171" customWidth="1"/>
    <col min="7" max="7" width="12.85546875" style="167" customWidth="1"/>
    <col min="8" max="8" width="27.28515625" style="168" customWidth="1"/>
    <col min="9" max="9" width="25.7109375" style="302" customWidth="1"/>
    <col min="10" max="10" width="25.7109375" style="172" customWidth="1"/>
    <col min="11" max="13" width="25.7109375" style="302" customWidth="1"/>
    <col min="14" max="14" width="11.42578125" style="167" customWidth="1"/>
    <col min="15" max="22" width="9.140625" style="167"/>
    <col min="23" max="23" width="35.5703125" style="167" customWidth="1"/>
    <col min="24" max="16384" width="9.140625" style="167"/>
  </cols>
  <sheetData>
    <row r="1" spans="1:157" ht="24.75" customHeight="1">
      <c r="A1" s="23" t="s">
        <v>985</v>
      </c>
      <c r="B1" s="26"/>
      <c r="C1" s="500"/>
      <c r="D1" s="500"/>
      <c r="E1" s="500"/>
      <c r="F1" s="27"/>
      <c r="G1" s="27"/>
      <c r="H1" s="500"/>
      <c r="I1" s="500"/>
      <c r="J1" s="321"/>
      <c r="K1" s="320"/>
      <c r="L1" s="321"/>
      <c r="M1" s="320"/>
      <c r="N1" s="308" t="s">
        <v>986</v>
      </c>
      <c r="O1" s="308" t="s">
        <v>98</v>
      </c>
      <c r="P1" s="308" t="s">
        <v>769</v>
      </c>
      <c r="Q1" s="308"/>
      <c r="R1" s="308"/>
      <c r="S1" s="308" t="s">
        <v>987</v>
      </c>
      <c r="T1" s="308"/>
      <c r="U1" s="326" t="s">
        <v>988</v>
      </c>
      <c r="V1" s="308"/>
      <c r="W1" s="326" t="s">
        <v>698</v>
      </c>
      <c r="X1" s="308"/>
      <c r="Y1" s="308"/>
      <c r="Z1" s="308" t="s">
        <v>989</v>
      </c>
      <c r="AA1" s="308"/>
      <c r="AB1" s="308" t="s">
        <v>98</v>
      </c>
      <c r="AC1" s="308"/>
      <c r="AD1" s="308" t="s">
        <v>990</v>
      </c>
      <c r="AE1" s="308"/>
      <c r="AF1" s="308"/>
      <c r="AG1" s="308" t="s">
        <v>991</v>
      </c>
      <c r="AH1" s="308"/>
      <c r="AI1" s="308"/>
      <c r="AJ1" s="308"/>
      <c r="AK1" s="308"/>
      <c r="AL1" s="212" t="s">
        <v>992</v>
      </c>
      <c r="AM1" s="308" t="s">
        <v>993</v>
      </c>
      <c r="AN1" s="308">
        <f>IF(B14="I.S. EN 14825",IF(D24="",0,1),0)</f>
        <v>0</v>
      </c>
      <c r="AO1" s="308"/>
      <c r="AP1" s="308">
        <v>8</v>
      </c>
      <c r="AQ1" s="308"/>
      <c r="AR1" s="308" t="s">
        <v>994</v>
      </c>
      <c r="AS1" s="308"/>
      <c r="AT1" s="308"/>
      <c r="AU1" s="308"/>
      <c r="AV1" s="308"/>
      <c r="AW1" s="308"/>
      <c r="AX1" s="308"/>
      <c r="AY1" s="308"/>
      <c r="AZ1" s="308"/>
      <c r="BA1" s="308"/>
      <c r="BB1" s="308"/>
      <c r="BC1" s="308"/>
      <c r="BD1" s="308"/>
      <c r="BE1" s="308"/>
      <c r="BF1" s="308"/>
      <c r="BG1" s="308"/>
      <c r="BH1" s="308"/>
      <c r="BI1" s="308"/>
      <c r="BJ1" s="308"/>
      <c r="BK1" s="308"/>
      <c r="BL1" s="308"/>
      <c r="BM1" s="308"/>
      <c r="BN1" s="308"/>
      <c r="BO1" s="308"/>
      <c r="BP1" s="308"/>
      <c r="BQ1" s="308"/>
      <c r="BR1" s="308"/>
      <c r="BS1" s="308"/>
      <c r="BT1" s="308"/>
      <c r="BU1" s="308"/>
      <c r="BV1" s="308"/>
      <c r="BW1" s="308"/>
      <c r="BX1" s="308"/>
      <c r="BY1" s="308"/>
      <c r="BZ1" s="308"/>
      <c r="CA1" s="308"/>
      <c r="CB1" s="308"/>
      <c r="CC1" s="308"/>
      <c r="CD1" s="308"/>
      <c r="CE1" s="308"/>
      <c r="CF1" s="308"/>
      <c r="CG1" s="308"/>
      <c r="CH1" s="308"/>
      <c r="CI1" s="308"/>
      <c r="CJ1" s="308"/>
      <c r="CK1" s="308"/>
      <c r="CL1" s="308"/>
      <c r="CM1" s="308"/>
      <c r="CN1" s="308"/>
      <c r="CO1" s="308"/>
      <c r="CP1" s="308"/>
      <c r="CQ1" s="308"/>
      <c r="CR1" s="308"/>
      <c r="CS1" s="308"/>
      <c r="CT1" s="308"/>
      <c r="CU1" s="308"/>
      <c r="CV1" s="308"/>
      <c r="CW1" s="308"/>
      <c r="CX1" s="308"/>
      <c r="CY1" s="308"/>
      <c r="CZ1" s="308"/>
      <c r="DA1" s="308"/>
      <c r="DB1" s="308"/>
      <c r="DC1" s="308"/>
      <c r="DD1" s="308"/>
      <c r="DE1" s="308"/>
      <c r="DF1" s="308"/>
      <c r="DG1" s="308"/>
      <c r="DH1" s="308"/>
      <c r="DI1" s="308"/>
      <c r="DJ1" s="308"/>
      <c r="DK1" s="308"/>
      <c r="DL1" s="308"/>
      <c r="DM1" s="308"/>
      <c r="DN1" s="308"/>
      <c r="DO1" s="308"/>
      <c r="DP1" s="308"/>
      <c r="DQ1" s="308"/>
      <c r="DR1" s="308"/>
      <c r="DS1" s="308"/>
      <c r="DT1" s="308"/>
      <c r="DU1" s="308"/>
      <c r="DV1" s="308"/>
      <c r="DW1" s="308"/>
      <c r="DX1" s="308"/>
      <c r="DY1" s="308"/>
      <c r="DZ1" s="308"/>
      <c r="EA1" s="308"/>
      <c r="EB1" s="308"/>
      <c r="EC1" s="308"/>
      <c r="ED1" s="308"/>
      <c r="EE1" s="308"/>
      <c r="EF1" s="308"/>
      <c r="EG1" s="308"/>
      <c r="EH1" s="308"/>
      <c r="EI1" s="308"/>
      <c r="EJ1" s="308"/>
      <c r="EK1" s="308"/>
      <c r="EL1" s="308"/>
      <c r="EM1" s="308"/>
      <c r="EN1" s="308"/>
      <c r="EO1" s="308"/>
      <c r="EP1" s="308"/>
      <c r="EQ1" s="308"/>
      <c r="ER1" s="308"/>
      <c r="ES1" s="308"/>
      <c r="ET1" s="308"/>
      <c r="EU1" s="308"/>
      <c r="EV1" s="308"/>
      <c r="EW1" s="308"/>
      <c r="EX1" s="308"/>
      <c r="EY1" s="308"/>
      <c r="EZ1" s="308"/>
      <c r="FA1" s="308"/>
    </row>
    <row r="2" spans="1:157" ht="19.5" thickBot="1">
      <c r="A2" s="819" t="s">
        <v>1476</v>
      </c>
      <c r="B2" s="819" t="s">
        <v>1477</v>
      </c>
      <c r="C2" s="819" t="s">
        <v>1478</v>
      </c>
      <c r="D2" s="859" t="s">
        <v>1479</v>
      </c>
      <c r="E2" s="859"/>
      <c r="F2" s="859"/>
      <c r="G2" s="859"/>
      <c r="H2" s="820"/>
      <c r="I2" s="821"/>
      <c r="J2" s="311"/>
      <c r="K2" s="303"/>
      <c r="L2" s="303"/>
      <c r="M2" s="303"/>
      <c r="N2" s="308" t="s">
        <v>995</v>
      </c>
      <c r="O2" s="308" t="s">
        <v>99</v>
      </c>
      <c r="P2" s="308" t="s">
        <v>1487</v>
      </c>
      <c r="Q2" s="308"/>
      <c r="R2" s="308"/>
      <c r="S2" s="308" t="s">
        <v>996</v>
      </c>
      <c r="T2" s="308"/>
      <c r="U2" s="326" t="s">
        <v>997</v>
      </c>
      <c r="V2" s="308"/>
      <c r="W2" s="326" t="s">
        <v>637</v>
      </c>
      <c r="X2" s="308">
        <f>B31</f>
        <v>2.08</v>
      </c>
      <c r="Y2" s="308"/>
      <c r="Z2" s="308" t="s">
        <v>998</v>
      </c>
      <c r="AA2" s="308"/>
      <c r="AB2" s="308" t="s">
        <v>99</v>
      </c>
      <c r="AC2" s="308"/>
      <c r="AD2" s="308" t="s">
        <v>999</v>
      </c>
      <c r="AE2" s="308"/>
      <c r="AF2" s="308"/>
      <c r="AG2" s="308" t="s">
        <v>1000</v>
      </c>
      <c r="AH2" s="308"/>
      <c r="AI2" s="308"/>
      <c r="AJ2" s="308"/>
      <c r="AK2" s="308"/>
      <c r="AL2" s="212" t="s">
        <v>1001</v>
      </c>
      <c r="AM2" s="308"/>
      <c r="AN2" s="308">
        <f>IF(B14="I.S. EN 14825",IF(D42="",0,1),0)</f>
        <v>0</v>
      </c>
      <c r="AO2" s="308"/>
      <c r="AP2" s="308">
        <v>16</v>
      </c>
      <c r="AQ2" s="308"/>
      <c r="AR2" s="308" t="s">
        <v>1002</v>
      </c>
      <c r="AS2" s="308"/>
      <c r="AT2" s="308"/>
      <c r="AU2" s="308"/>
      <c r="AV2" s="308"/>
      <c r="AW2" s="308"/>
      <c r="AX2" s="308"/>
      <c r="AY2" s="308"/>
      <c r="AZ2" s="308"/>
      <c r="BA2" s="308"/>
      <c r="BB2" s="308"/>
      <c r="BC2" s="308"/>
      <c r="BD2" s="308"/>
      <c r="BE2" s="308"/>
      <c r="BF2" s="308"/>
      <c r="BG2" s="308"/>
      <c r="BH2" s="308"/>
      <c r="BI2" s="308"/>
      <c r="BJ2" s="308"/>
      <c r="BK2" s="308"/>
      <c r="BL2" s="308"/>
      <c r="BM2" s="308"/>
      <c r="BN2" s="308"/>
      <c r="BO2" s="308"/>
      <c r="BP2" s="308"/>
      <c r="BQ2" s="308"/>
      <c r="BR2" s="308"/>
      <c r="BS2" s="308"/>
      <c r="BT2" s="308"/>
      <c r="BU2" s="308"/>
      <c r="BV2" s="308"/>
      <c r="BW2" s="308"/>
      <c r="BX2" s="308"/>
      <c r="BY2" s="308"/>
      <c r="BZ2" s="308"/>
      <c r="CA2" s="308"/>
      <c r="CB2" s="308"/>
      <c r="CC2" s="308"/>
      <c r="CD2" s="308"/>
      <c r="CE2" s="308"/>
      <c r="CF2" s="308"/>
      <c r="CG2" s="308"/>
      <c r="CH2" s="308"/>
      <c r="CI2" s="308"/>
      <c r="CJ2" s="308"/>
      <c r="CK2" s="308"/>
      <c r="CL2" s="308"/>
      <c r="CM2" s="308"/>
      <c r="CN2" s="308"/>
      <c r="CO2" s="308"/>
      <c r="CP2" s="308"/>
      <c r="CQ2" s="308"/>
      <c r="CR2" s="308"/>
      <c r="CS2" s="308"/>
      <c r="CT2" s="308"/>
      <c r="CU2" s="308"/>
      <c r="CV2" s="308"/>
      <c r="CW2" s="308"/>
      <c r="CX2" s="308"/>
      <c r="CY2" s="308"/>
      <c r="CZ2" s="308"/>
      <c r="DA2" s="308"/>
      <c r="DB2" s="308"/>
      <c r="DC2" s="308"/>
      <c r="DD2" s="308"/>
      <c r="DE2" s="308"/>
      <c r="DF2" s="308"/>
      <c r="DG2" s="308"/>
      <c r="DH2" s="308"/>
      <c r="DI2" s="308"/>
      <c r="DJ2" s="308"/>
      <c r="DK2" s="308"/>
      <c r="DL2" s="308"/>
      <c r="DM2" s="308"/>
      <c r="DN2" s="308"/>
      <c r="DO2" s="308"/>
      <c r="DP2" s="308"/>
      <c r="DQ2" s="308"/>
      <c r="DR2" s="308"/>
      <c r="DS2" s="308"/>
      <c r="DT2" s="308"/>
      <c r="DU2" s="308"/>
      <c r="DV2" s="308"/>
      <c r="DW2" s="308"/>
      <c r="DX2" s="308"/>
      <c r="DY2" s="308"/>
      <c r="DZ2" s="308"/>
      <c r="EA2" s="308"/>
      <c r="EB2" s="308"/>
      <c r="EC2" s="308"/>
      <c r="ED2" s="308"/>
      <c r="EE2" s="308"/>
      <c r="EF2" s="308"/>
      <c r="EG2" s="308"/>
      <c r="EH2" s="308"/>
      <c r="EI2" s="308"/>
      <c r="EJ2" s="308"/>
      <c r="EK2" s="308"/>
      <c r="EL2" s="308"/>
      <c r="EM2" s="308"/>
      <c r="EN2" s="308"/>
      <c r="EO2" s="308"/>
      <c r="EP2" s="308"/>
      <c r="EQ2" s="308"/>
      <c r="ER2" s="308"/>
      <c r="ES2" s="308"/>
      <c r="ET2" s="308"/>
      <c r="EU2" s="308"/>
      <c r="EV2" s="308"/>
      <c r="EW2" s="308"/>
      <c r="EX2" s="308"/>
      <c r="EY2" s="308"/>
      <c r="EZ2" s="308"/>
      <c r="FA2" s="308"/>
    </row>
    <row r="3" spans="1:157" ht="35.25" customHeight="1">
      <c r="A3" s="318" t="s">
        <v>1003</v>
      </c>
      <c r="B3" s="489">
        <f>hlc</f>
        <v>126.47930714821428</v>
      </c>
      <c r="C3" s="167" t="s">
        <v>1004</v>
      </c>
      <c r="D3" s="856" t="s">
        <v>1005</v>
      </c>
      <c r="E3" s="856"/>
      <c r="F3" s="856"/>
      <c r="G3" s="308"/>
      <c r="H3" s="314"/>
      <c r="I3" s="303"/>
      <c r="J3" s="311"/>
      <c r="K3" s="303"/>
      <c r="L3" s="303"/>
      <c r="M3" s="303"/>
      <c r="N3" s="308" t="s">
        <v>1006</v>
      </c>
      <c r="O3" s="308"/>
      <c r="P3" s="308" t="s">
        <v>1488</v>
      </c>
      <c r="Q3" s="308"/>
      <c r="R3" s="308"/>
      <c r="S3" s="308" t="s">
        <v>1007</v>
      </c>
      <c r="T3" s="308"/>
      <c r="U3" s="326" t="s">
        <v>1008</v>
      </c>
      <c r="V3" s="308"/>
      <c r="W3" s="326" t="s">
        <v>1009</v>
      </c>
      <c r="X3" s="308">
        <v>1.1000000000000001</v>
      </c>
      <c r="Y3" s="308"/>
      <c r="Z3" s="308"/>
      <c r="AA3" s="308"/>
      <c r="AB3" s="308"/>
      <c r="AC3" s="308"/>
      <c r="AD3" s="308" t="s">
        <v>1010</v>
      </c>
      <c r="AE3" s="308"/>
      <c r="AF3" s="308"/>
      <c r="AG3" s="308" t="s">
        <v>1011</v>
      </c>
      <c r="AH3" s="308"/>
      <c r="AI3" s="308"/>
      <c r="AJ3" s="308"/>
      <c r="AK3" s="308"/>
      <c r="AL3" s="212" t="s">
        <v>1012</v>
      </c>
      <c r="AM3" s="308"/>
      <c r="AN3" s="308">
        <f>SUM(AN1:AN2)</f>
        <v>0</v>
      </c>
      <c r="AO3" s="308"/>
      <c r="AP3" s="308">
        <v>24</v>
      </c>
      <c r="AQ3" s="308"/>
      <c r="AR3" s="308"/>
      <c r="AS3" s="308"/>
      <c r="AT3" s="308"/>
      <c r="AU3" s="308"/>
      <c r="AV3" s="308"/>
      <c r="AW3" s="308"/>
      <c r="AX3" s="308"/>
      <c r="AY3" s="308"/>
      <c r="AZ3" s="308"/>
      <c r="BA3" s="308"/>
      <c r="BB3" s="308"/>
      <c r="BC3" s="308"/>
      <c r="BD3" s="308"/>
      <c r="BE3" s="308"/>
      <c r="BF3" s="308"/>
      <c r="BG3" s="308"/>
      <c r="BH3" s="308"/>
      <c r="BI3" s="308"/>
      <c r="BJ3" s="308"/>
      <c r="BK3" s="308"/>
      <c r="BL3" s="308"/>
      <c r="BM3" s="308"/>
      <c r="BN3" s="308"/>
      <c r="BO3" s="308"/>
      <c r="BP3" s="308"/>
      <c r="BQ3" s="308"/>
      <c r="BR3" s="308"/>
      <c r="BS3" s="308"/>
      <c r="BT3" s="308"/>
      <c r="BU3" s="308"/>
      <c r="BV3" s="308"/>
      <c r="BW3" s="308"/>
      <c r="BX3" s="308"/>
      <c r="BY3" s="308"/>
      <c r="BZ3" s="308"/>
      <c r="CA3" s="308"/>
      <c r="CB3" s="308"/>
      <c r="CC3" s="308"/>
      <c r="CD3" s="308"/>
      <c r="CE3" s="308"/>
      <c r="CF3" s="308"/>
      <c r="CG3" s="308"/>
      <c r="CH3" s="308"/>
      <c r="CI3" s="308"/>
      <c r="CJ3" s="308"/>
      <c r="CK3" s="308"/>
      <c r="CL3" s="308"/>
      <c r="CM3" s="308"/>
      <c r="CN3" s="308"/>
      <c r="CO3" s="308"/>
      <c r="CP3" s="308"/>
      <c r="CQ3" s="308"/>
      <c r="CR3" s="308"/>
      <c r="CS3" s="308"/>
      <c r="CT3" s="308"/>
      <c r="CU3" s="308"/>
      <c r="CV3" s="308"/>
      <c r="CW3" s="308"/>
      <c r="CX3" s="308"/>
      <c r="CY3" s="308"/>
      <c r="CZ3" s="308"/>
      <c r="DA3" s="308"/>
      <c r="DB3" s="308"/>
      <c r="DC3" s="308"/>
      <c r="DD3" s="308"/>
      <c r="DE3" s="308"/>
      <c r="DF3" s="308"/>
      <c r="DG3" s="308"/>
      <c r="DH3" s="308"/>
      <c r="DI3" s="308"/>
      <c r="DJ3" s="308"/>
      <c r="DK3" s="308"/>
      <c r="DL3" s="308"/>
      <c r="DM3" s="308"/>
      <c r="DN3" s="308"/>
      <c r="DO3" s="308"/>
      <c r="DP3" s="308"/>
      <c r="DQ3" s="308"/>
      <c r="DR3" s="308"/>
      <c r="DS3" s="308"/>
      <c r="DT3" s="308"/>
      <c r="DU3" s="308"/>
      <c r="DV3" s="308"/>
      <c r="DW3" s="308"/>
      <c r="DX3" s="308"/>
      <c r="DY3" s="308"/>
      <c r="DZ3" s="308"/>
      <c r="EA3" s="308"/>
      <c r="EB3" s="308"/>
      <c r="EC3" s="308"/>
      <c r="ED3" s="308"/>
      <c r="EE3" s="308"/>
      <c r="EF3" s="308"/>
      <c r="EG3" s="308"/>
      <c r="EH3" s="308"/>
      <c r="EI3" s="308"/>
      <c r="EJ3" s="308"/>
      <c r="EK3" s="308"/>
      <c r="EL3" s="308"/>
      <c r="EM3" s="308"/>
      <c r="EN3" s="308"/>
      <c r="EO3" s="308"/>
      <c r="EP3" s="308"/>
      <c r="EQ3" s="308"/>
      <c r="ER3" s="308"/>
      <c r="ES3" s="308"/>
      <c r="ET3" s="308"/>
      <c r="EU3" s="308"/>
      <c r="EV3" s="308"/>
      <c r="EW3" s="308"/>
      <c r="EX3" s="308"/>
      <c r="EY3" s="308"/>
      <c r="EZ3" s="308"/>
      <c r="FA3" s="308"/>
    </row>
    <row r="4" spans="1:157" ht="24.75" customHeight="1">
      <c r="A4" s="169" t="s">
        <v>1013</v>
      </c>
      <c r="B4" s="488">
        <f>IF(B5="No",(B3*(B19-B18)),(B3*B6/B7)*B8*(B19-B18))</f>
        <v>2750.9249304736604</v>
      </c>
      <c r="C4" s="167" t="s">
        <v>1014</v>
      </c>
      <c r="D4" s="856" t="s">
        <v>1015</v>
      </c>
      <c r="E4" s="856"/>
      <c r="F4" s="856"/>
      <c r="G4" s="308"/>
      <c r="H4" s="314"/>
      <c r="I4" s="303"/>
      <c r="J4" s="311"/>
      <c r="K4" s="303"/>
      <c r="L4" s="303"/>
      <c r="M4" s="303"/>
      <c r="N4" s="308" t="s">
        <v>1016</v>
      </c>
      <c r="O4" s="308"/>
      <c r="P4" s="308"/>
      <c r="Q4" s="308"/>
      <c r="R4" s="308"/>
      <c r="S4" s="308" t="s">
        <v>1017</v>
      </c>
      <c r="T4" s="308"/>
      <c r="U4" s="326" t="s">
        <v>1018</v>
      </c>
      <c r="V4" s="308"/>
      <c r="W4" s="326" t="s">
        <v>1019</v>
      </c>
      <c r="X4" s="308">
        <v>1.1000000000000001</v>
      </c>
      <c r="Y4" s="308"/>
      <c r="Z4" s="308"/>
      <c r="AA4" s="308"/>
      <c r="AB4" s="308"/>
      <c r="AC4" s="308"/>
      <c r="AD4" s="308" t="s">
        <v>1020</v>
      </c>
      <c r="AE4" s="308"/>
      <c r="AF4" s="308"/>
      <c r="AG4" s="308" t="s">
        <v>1021</v>
      </c>
      <c r="AH4" s="308"/>
      <c r="AI4" s="308"/>
      <c r="AJ4" s="308"/>
      <c r="AK4" s="308"/>
      <c r="AL4" s="212" t="s">
        <v>1022</v>
      </c>
      <c r="AM4" s="308"/>
      <c r="AN4" s="308"/>
      <c r="AO4" s="308"/>
      <c r="AP4" s="308"/>
      <c r="AQ4" s="308"/>
      <c r="AR4" s="308"/>
      <c r="AS4" s="308"/>
      <c r="AT4" s="308"/>
      <c r="AU4" s="308"/>
      <c r="AV4" s="308"/>
      <c r="AW4" s="308"/>
      <c r="AX4" s="308"/>
      <c r="AY4" s="308"/>
      <c r="AZ4" s="308"/>
      <c r="BA4" s="308"/>
      <c r="BB4" s="308"/>
      <c r="BC4" s="308"/>
      <c r="BD4" s="308"/>
      <c r="BE4" s="308"/>
      <c r="BF4" s="308"/>
      <c r="BG4" s="308"/>
      <c r="BH4" s="308"/>
      <c r="BI4" s="308"/>
      <c r="BJ4" s="308"/>
      <c r="BK4" s="308"/>
      <c r="BL4" s="308"/>
      <c r="BM4" s="308"/>
      <c r="BN4" s="308"/>
      <c r="BO4" s="308"/>
      <c r="BP4" s="308"/>
      <c r="BQ4" s="308"/>
      <c r="BR4" s="308"/>
      <c r="BS4" s="308"/>
      <c r="BT4" s="308"/>
      <c r="BU4" s="308"/>
      <c r="BV4" s="308"/>
      <c r="BW4" s="308"/>
      <c r="BX4" s="308"/>
      <c r="BY4" s="308"/>
      <c r="BZ4" s="308"/>
      <c r="CA4" s="308"/>
      <c r="CB4" s="308"/>
      <c r="CC4" s="308"/>
      <c r="CD4" s="308"/>
      <c r="CE4" s="308"/>
      <c r="CF4" s="308"/>
      <c r="CG4" s="308"/>
      <c r="CH4" s="308"/>
      <c r="CI4" s="308"/>
      <c r="CJ4" s="308"/>
      <c r="CK4" s="308"/>
      <c r="CL4" s="308"/>
      <c r="CM4" s="308"/>
      <c r="CN4" s="308"/>
      <c r="CO4" s="308"/>
      <c r="CP4" s="308"/>
      <c r="CQ4" s="308"/>
      <c r="CR4" s="308"/>
      <c r="CS4" s="308"/>
      <c r="CT4" s="308"/>
      <c r="CU4" s="308"/>
      <c r="CV4" s="308"/>
      <c r="CW4" s="308"/>
      <c r="CX4" s="308"/>
      <c r="CY4" s="308"/>
      <c r="CZ4" s="308"/>
      <c r="DA4" s="308"/>
      <c r="DB4" s="308"/>
      <c r="DC4" s="308"/>
      <c r="DD4" s="308"/>
      <c r="DE4" s="308"/>
      <c r="DF4" s="308"/>
      <c r="DG4" s="308"/>
      <c r="DH4" s="308"/>
      <c r="DI4" s="308"/>
      <c r="DJ4" s="308"/>
      <c r="DK4" s="308"/>
      <c r="DL4" s="308"/>
      <c r="DM4" s="308"/>
      <c r="DN4" s="308"/>
      <c r="DO4" s="308"/>
      <c r="DP4" s="308"/>
      <c r="DQ4" s="308"/>
      <c r="DR4" s="308"/>
      <c r="DS4" s="308"/>
      <c r="DT4" s="308"/>
      <c r="DU4" s="308"/>
      <c r="DV4" s="308"/>
      <c r="DW4" s="308"/>
      <c r="DX4" s="308"/>
      <c r="DY4" s="308"/>
      <c r="DZ4" s="308"/>
      <c r="EA4" s="308"/>
      <c r="EB4" s="308"/>
      <c r="EC4" s="308"/>
      <c r="ED4" s="308"/>
      <c r="EE4" s="308"/>
      <c r="EF4" s="308"/>
      <c r="EG4" s="308"/>
      <c r="EH4" s="308"/>
      <c r="EI4" s="308"/>
      <c r="EJ4" s="308"/>
      <c r="EK4" s="308"/>
      <c r="EL4" s="308"/>
      <c r="EM4" s="308"/>
      <c r="EN4" s="308"/>
      <c r="EO4" s="308"/>
      <c r="EP4" s="308"/>
      <c r="EQ4" s="308"/>
      <c r="ER4" s="308"/>
      <c r="ES4" s="308"/>
      <c r="ET4" s="308"/>
      <c r="EU4" s="308"/>
      <c r="EV4" s="308"/>
      <c r="EW4" s="308"/>
      <c r="EX4" s="308"/>
      <c r="EY4" s="308"/>
      <c r="EZ4" s="308"/>
      <c r="FA4" s="308"/>
    </row>
    <row r="5" spans="1:157" ht="33" customHeight="1">
      <c r="A5" s="169" t="s">
        <v>1023</v>
      </c>
      <c r="B5" s="490" t="str">
        <f>IF(SH!I39=1,"No","Yes")</f>
        <v>No</v>
      </c>
      <c r="D5" s="168"/>
      <c r="E5" s="168"/>
      <c r="F5" s="168"/>
      <c r="G5" s="308"/>
      <c r="H5" s="314"/>
      <c r="I5" s="303"/>
      <c r="J5" s="311"/>
      <c r="K5" s="303"/>
      <c r="L5" s="303"/>
      <c r="M5" s="303"/>
      <c r="N5" s="308"/>
      <c r="O5" s="308"/>
      <c r="P5" s="308"/>
      <c r="Q5" s="308"/>
      <c r="R5" s="308"/>
      <c r="S5" s="308" t="s">
        <v>1024</v>
      </c>
      <c r="T5" s="308"/>
      <c r="U5" s="326" t="s">
        <v>1025</v>
      </c>
      <c r="V5" s="308"/>
      <c r="W5" s="326" t="s">
        <v>1026</v>
      </c>
      <c r="X5" s="308">
        <v>1.1000000000000001</v>
      </c>
      <c r="Y5" s="308"/>
      <c r="Z5" s="308"/>
      <c r="AA5" s="308"/>
      <c r="AB5" s="308"/>
      <c r="AC5" s="308"/>
      <c r="AD5" s="308"/>
      <c r="AE5" s="308"/>
      <c r="AF5" s="308"/>
      <c r="AG5" s="308"/>
      <c r="AH5" s="308"/>
      <c r="AI5" s="308"/>
      <c r="AJ5" s="308"/>
      <c r="AK5" s="308"/>
      <c r="AL5" s="212" t="s">
        <v>1027</v>
      </c>
      <c r="AM5" s="308"/>
      <c r="AN5" s="308"/>
      <c r="AO5" s="308"/>
      <c r="AP5" s="308"/>
      <c r="AQ5" s="308"/>
      <c r="AR5" s="308"/>
      <c r="AS5" s="308"/>
      <c r="AT5" s="308"/>
      <c r="AU5" s="308"/>
      <c r="AV5" s="308"/>
      <c r="AW5" s="308"/>
      <c r="AX5" s="308"/>
      <c r="AY5" s="308"/>
      <c r="AZ5" s="308"/>
      <c r="BA5" s="308"/>
      <c r="BB5" s="308"/>
      <c r="BC5" s="308"/>
      <c r="BD5" s="308"/>
      <c r="BE5" s="308"/>
      <c r="BF5" s="308"/>
      <c r="BG5" s="308"/>
      <c r="BH5" s="308"/>
      <c r="BI5" s="308"/>
      <c r="BJ5" s="308"/>
      <c r="BK5" s="308"/>
      <c r="BL5" s="308"/>
      <c r="BM5" s="308"/>
      <c r="BN5" s="308"/>
      <c r="BO5" s="308"/>
      <c r="BP5" s="308"/>
      <c r="BQ5" s="308"/>
      <c r="BR5" s="308"/>
      <c r="BS5" s="308"/>
      <c r="BT5" s="308"/>
      <c r="BU5" s="308"/>
      <c r="BV5" s="308"/>
      <c r="BW5" s="308"/>
      <c r="BX5" s="308"/>
      <c r="BY5" s="308"/>
      <c r="BZ5" s="308"/>
      <c r="CA5" s="308"/>
      <c r="CB5" s="308"/>
      <c r="CC5" s="308"/>
      <c r="CD5" s="308"/>
      <c r="CE5" s="308"/>
      <c r="CF5" s="308"/>
      <c r="CG5" s="308"/>
      <c r="CH5" s="308"/>
      <c r="CI5" s="308"/>
      <c r="CJ5" s="308"/>
      <c r="CK5" s="308"/>
      <c r="CL5" s="308"/>
      <c r="CM5" s="308"/>
      <c r="CN5" s="308"/>
      <c r="CO5" s="308"/>
      <c r="CP5" s="308"/>
      <c r="CQ5" s="308"/>
      <c r="CR5" s="308"/>
      <c r="CS5" s="308"/>
      <c r="CT5" s="308"/>
      <c r="CU5" s="308"/>
      <c r="CV5" s="308"/>
      <c r="CW5" s="308"/>
      <c r="CX5" s="308"/>
      <c r="CY5" s="308"/>
      <c r="CZ5" s="308"/>
      <c r="DA5" s="308"/>
      <c r="DB5" s="308"/>
      <c r="DC5" s="308"/>
      <c r="DD5" s="308"/>
      <c r="DE5" s="308"/>
      <c r="DF5" s="308"/>
      <c r="DG5" s="308"/>
      <c r="DH5" s="308"/>
      <c r="DI5" s="308"/>
      <c r="DJ5" s="308"/>
      <c r="DK5" s="308"/>
      <c r="DL5" s="308"/>
      <c r="DM5" s="308"/>
      <c r="DN5" s="308"/>
      <c r="DO5" s="308"/>
      <c r="DP5" s="308"/>
      <c r="DQ5" s="308"/>
      <c r="DR5" s="308"/>
      <c r="DS5" s="308"/>
      <c r="DT5" s="308"/>
      <c r="DU5" s="308"/>
      <c r="DV5" s="308"/>
      <c r="DW5" s="308"/>
      <c r="DX5" s="308"/>
      <c r="DY5" s="308"/>
      <c r="DZ5" s="308"/>
      <c r="EA5" s="308"/>
      <c r="EB5" s="308"/>
      <c r="EC5" s="308"/>
      <c r="ED5" s="308"/>
      <c r="EE5" s="308"/>
      <c r="EF5" s="308"/>
      <c r="EG5" s="308"/>
      <c r="EH5" s="308"/>
      <c r="EI5" s="308"/>
      <c r="EJ5" s="308"/>
      <c r="EK5" s="308"/>
      <c r="EL5" s="308"/>
      <c r="EM5" s="308"/>
      <c r="EN5" s="308"/>
      <c r="EO5" s="308"/>
      <c r="EP5" s="308"/>
      <c r="EQ5" s="308"/>
      <c r="ER5" s="308"/>
      <c r="ES5" s="308"/>
      <c r="ET5" s="308"/>
      <c r="EU5" s="308"/>
      <c r="EV5" s="308"/>
      <c r="EW5" s="308"/>
      <c r="EX5" s="308"/>
      <c r="EY5" s="308"/>
      <c r="EZ5" s="308"/>
      <c r="FA5" s="308"/>
    </row>
    <row r="6" spans="1:157" ht="30" customHeight="1">
      <c r="A6" s="169" t="s">
        <v>1028</v>
      </c>
      <c r="B6" s="665">
        <f>IF(B5="Yes",SUM('ER2'!J26:J27)/100,0)</f>
        <v>0</v>
      </c>
      <c r="C6" s="167" t="s">
        <v>1029</v>
      </c>
      <c r="D6" s="168"/>
      <c r="E6" s="168"/>
      <c r="F6" s="168"/>
      <c r="G6" s="308"/>
      <c r="H6" s="314"/>
      <c r="I6" s="303"/>
      <c r="J6" s="311"/>
      <c r="K6" s="303"/>
      <c r="L6" s="303"/>
      <c r="M6" s="303"/>
      <c r="N6" s="308"/>
      <c r="O6" s="308"/>
      <c r="P6" s="308"/>
      <c r="Q6" s="308"/>
      <c r="R6" s="308"/>
      <c r="S6" s="308" t="s">
        <v>1030</v>
      </c>
      <c r="T6" s="308"/>
      <c r="U6" s="326" t="s">
        <v>2</v>
      </c>
      <c r="V6" s="308"/>
      <c r="W6" s="326" t="s">
        <v>918</v>
      </c>
      <c r="X6" s="308">
        <v>1.3</v>
      </c>
      <c r="Y6" s="308"/>
      <c r="Z6" s="308"/>
      <c r="AA6" s="308"/>
      <c r="AB6" s="308"/>
      <c r="AC6" s="308"/>
      <c r="AD6" s="308"/>
      <c r="AE6" s="308"/>
      <c r="AF6" s="308"/>
      <c r="AG6" s="308"/>
      <c r="AH6" s="308"/>
      <c r="AI6" s="308"/>
      <c r="AJ6" s="308"/>
      <c r="AK6" s="308"/>
      <c r="AL6" s="212" t="s">
        <v>1031</v>
      </c>
      <c r="AM6" s="308"/>
      <c r="AN6" s="308"/>
      <c r="AO6" s="308"/>
      <c r="AP6" s="308"/>
      <c r="AQ6" s="308"/>
      <c r="AR6" s="308"/>
      <c r="AS6" s="308"/>
      <c r="AT6" s="308"/>
      <c r="AU6" s="308"/>
      <c r="AV6" s="308"/>
      <c r="AW6" s="308"/>
      <c r="AX6" s="308"/>
      <c r="AY6" s="308"/>
      <c r="AZ6" s="308"/>
      <c r="BA6" s="308"/>
      <c r="BB6" s="308"/>
      <c r="BC6" s="308"/>
      <c r="BD6" s="308"/>
      <c r="BE6" s="308"/>
      <c r="BF6" s="308"/>
      <c r="BG6" s="308"/>
      <c r="BH6" s="308"/>
      <c r="BI6" s="308"/>
      <c r="BJ6" s="308"/>
      <c r="BK6" s="308"/>
      <c r="BL6" s="308"/>
      <c r="BM6" s="308"/>
      <c r="BN6" s="308"/>
      <c r="BO6" s="308"/>
      <c r="BP6" s="308"/>
      <c r="BQ6" s="308"/>
      <c r="BR6" s="308"/>
      <c r="BS6" s="308"/>
      <c r="BT6" s="308"/>
      <c r="BU6" s="308"/>
      <c r="BV6" s="308"/>
      <c r="BW6" s="308"/>
      <c r="BX6" s="308"/>
      <c r="BY6" s="308"/>
      <c r="BZ6" s="308"/>
      <c r="CA6" s="308"/>
      <c r="CB6" s="308"/>
      <c r="CC6" s="308"/>
      <c r="CD6" s="308"/>
      <c r="CE6" s="308"/>
      <c r="CF6" s="308"/>
      <c r="CG6" s="308"/>
      <c r="CH6" s="308"/>
      <c r="CI6" s="308"/>
      <c r="CJ6" s="308"/>
      <c r="CK6" s="308"/>
      <c r="CL6" s="308"/>
      <c r="CM6" s="308"/>
      <c r="CN6" s="308"/>
      <c r="CO6" s="308"/>
      <c r="CP6" s="308"/>
      <c r="CQ6" s="308"/>
      <c r="CR6" s="308"/>
      <c r="CS6" s="308"/>
      <c r="CT6" s="308"/>
      <c r="CU6" s="308"/>
      <c r="CV6" s="308"/>
      <c r="CW6" s="308"/>
      <c r="CX6" s="308"/>
      <c r="CY6" s="308"/>
      <c r="CZ6" s="308"/>
      <c r="DA6" s="308"/>
      <c r="DB6" s="308"/>
      <c r="DC6" s="308"/>
      <c r="DD6" s="308"/>
      <c r="DE6" s="308"/>
      <c r="DF6" s="308"/>
      <c r="DG6" s="308"/>
      <c r="DH6" s="308"/>
      <c r="DI6" s="308"/>
      <c r="DJ6" s="308"/>
      <c r="DK6" s="308"/>
      <c r="DL6" s="308"/>
      <c r="DM6" s="308"/>
      <c r="DN6" s="308"/>
      <c r="DO6" s="308"/>
      <c r="DP6" s="308"/>
      <c r="DQ6" s="308"/>
      <c r="DR6" s="308"/>
      <c r="DS6" s="308"/>
      <c r="DT6" s="308"/>
      <c r="DU6" s="308"/>
      <c r="DV6" s="308"/>
      <c r="DW6" s="308"/>
      <c r="DX6" s="308"/>
      <c r="DY6" s="308"/>
      <c r="DZ6" s="308"/>
      <c r="EA6" s="308"/>
      <c r="EB6" s="308"/>
      <c r="EC6" s="308"/>
      <c r="ED6" s="308"/>
      <c r="EE6" s="308"/>
      <c r="EF6" s="308"/>
      <c r="EG6" s="308"/>
      <c r="EH6" s="308"/>
      <c r="EI6" s="308"/>
      <c r="EJ6" s="308"/>
      <c r="EK6" s="308"/>
      <c r="EL6" s="308"/>
      <c r="EM6" s="308"/>
      <c r="EN6" s="308"/>
      <c r="EO6" s="308"/>
      <c r="EP6" s="308"/>
      <c r="EQ6" s="308"/>
      <c r="ER6" s="308"/>
      <c r="ES6" s="308"/>
      <c r="ET6" s="308"/>
      <c r="EU6" s="308"/>
      <c r="EV6" s="308"/>
      <c r="EW6" s="308"/>
      <c r="EX6" s="308"/>
      <c r="EY6" s="308"/>
      <c r="EZ6" s="308"/>
      <c r="FA6" s="308"/>
    </row>
    <row r="7" spans="1:157" ht="30" customHeight="1">
      <c r="A7" s="169" t="s">
        <v>1032</v>
      </c>
      <c r="B7" s="666">
        <f>IF(B5="Yes",tfa,0)</f>
        <v>0</v>
      </c>
      <c r="C7" s="167" t="s">
        <v>1033</v>
      </c>
      <c r="D7" s="856" t="s">
        <v>1034</v>
      </c>
      <c r="E7" s="856"/>
      <c r="F7" s="856"/>
      <c r="G7" s="308"/>
      <c r="H7" s="314"/>
      <c r="I7" s="303"/>
      <c r="J7" s="311"/>
      <c r="K7" s="303"/>
      <c r="L7" s="303"/>
      <c r="M7" s="303"/>
      <c r="N7" s="308"/>
      <c r="O7" s="308"/>
      <c r="P7" s="308"/>
      <c r="Q7" s="308"/>
      <c r="R7" s="308"/>
      <c r="S7" s="308" t="s">
        <v>1035</v>
      </c>
      <c r="T7" s="308"/>
      <c r="U7" s="326"/>
      <c r="V7" s="308"/>
      <c r="W7" s="326" t="s">
        <v>919</v>
      </c>
      <c r="X7" s="308">
        <v>1.34</v>
      </c>
      <c r="Y7" s="308"/>
      <c r="Z7" s="308"/>
      <c r="AA7" s="308"/>
      <c r="AB7" s="308"/>
      <c r="AC7" s="308"/>
      <c r="AD7" s="308"/>
      <c r="AE7" s="308"/>
      <c r="AF7" s="308"/>
      <c r="AG7" s="308"/>
      <c r="AH7" s="308"/>
      <c r="AI7" s="308"/>
      <c r="AJ7" s="308"/>
      <c r="AK7" s="308"/>
      <c r="AL7" s="212" t="s">
        <v>1036</v>
      </c>
      <c r="AM7" s="308"/>
      <c r="AN7" s="308"/>
      <c r="AO7" s="308"/>
      <c r="AP7" s="308"/>
      <c r="AQ7" s="308"/>
      <c r="AR7" s="308"/>
      <c r="AS7" s="308"/>
      <c r="AT7" s="308"/>
      <c r="AU7" s="308"/>
      <c r="AV7" s="308"/>
      <c r="AW7" s="308"/>
      <c r="AX7" s="308"/>
      <c r="AY7" s="308"/>
      <c r="AZ7" s="308"/>
      <c r="BA7" s="308"/>
      <c r="BB7" s="308"/>
      <c r="BC7" s="308"/>
      <c r="BD7" s="308"/>
      <c r="BE7" s="308"/>
      <c r="BF7" s="308"/>
      <c r="BG7" s="308"/>
      <c r="BH7" s="308"/>
      <c r="BI7" s="308"/>
      <c r="BJ7" s="308"/>
      <c r="BK7" s="308"/>
      <c r="BL7" s="308"/>
      <c r="BM7" s="308"/>
      <c r="BN7" s="308"/>
      <c r="BO7" s="308"/>
      <c r="BP7" s="308"/>
      <c r="BQ7" s="308"/>
      <c r="BR7" s="308"/>
      <c r="BS7" s="308"/>
      <c r="BT7" s="308"/>
      <c r="BU7" s="308"/>
      <c r="BV7" s="308"/>
      <c r="BW7" s="308"/>
      <c r="BX7" s="308"/>
      <c r="BY7" s="308"/>
      <c r="BZ7" s="308"/>
      <c r="CA7" s="308"/>
      <c r="CB7" s="308"/>
      <c r="CC7" s="308"/>
      <c r="CD7" s="308"/>
      <c r="CE7" s="308"/>
      <c r="CF7" s="308"/>
      <c r="CG7" s="308"/>
      <c r="CH7" s="308"/>
      <c r="CI7" s="308"/>
      <c r="CJ7" s="308"/>
      <c r="CK7" s="308"/>
      <c r="CL7" s="308"/>
      <c r="CM7" s="308"/>
      <c r="CN7" s="308"/>
      <c r="CO7" s="308"/>
      <c r="CP7" s="308"/>
      <c r="CQ7" s="308"/>
      <c r="CR7" s="308"/>
      <c r="CS7" s="308"/>
      <c r="CT7" s="308"/>
      <c r="CU7" s="308"/>
      <c r="CV7" s="308"/>
      <c r="CW7" s="308"/>
      <c r="CX7" s="308"/>
      <c r="CY7" s="308"/>
      <c r="CZ7" s="308"/>
      <c r="DA7" s="308"/>
      <c r="DB7" s="308"/>
      <c r="DC7" s="308"/>
      <c r="DD7" s="308"/>
      <c r="DE7" s="308"/>
      <c r="DF7" s="308"/>
      <c r="DG7" s="308"/>
      <c r="DH7" s="308"/>
      <c r="DI7" s="308"/>
      <c r="DJ7" s="308"/>
      <c r="DK7" s="308"/>
      <c r="DL7" s="308"/>
      <c r="DM7" s="308"/>
      <c r="DN7" s="308"/>
      <c r="DO7" s="308"/>
      <c r="DP7" s="308"/>
      <c r="DQ7" s="308"/>
      <c r="DR7" s="308"/>
      <c r="DS7" s="308"/>
      <c r="DT7" s="308"/>
      <c r="DU7" s="308"/>
      <c r="DV7" s="308"/>
      <c r="DW7" s="308"/>
      <c r="DX7" s="308"/>
      <c r="DY7" s="308"/>
      <c r="DZ7" s="308"/>
      <c r="EA7" s="308"/>
      <c r="EB7" s="308"/>
      <c r="EC7" s="308"/>
      <c r="ED7" s="308"/>
      <c r="EE7" s="308"/>
      <c r="EF7" s="308"/>
      <c r="EG7" s="308"/>
      <c r="EH7" s="308"/>
      <c r="EI7" s="308"/>
      <c r="EJ7" s="308"/>
      <c r="EK7" s="308"/>
      <c r="EL7" s="308"/>
      <c r="EM7" s="308"/>
      <c r="EN7" s="308"/>
      <c r="EO7" s="308"/>
      <c r="EP7" s="308"/>
      <c r="EQ7" s="308"/>
      <c r="ER7" s="308"/>
      <c r="ES7" s="308"/>
      <c r="ET7" s="308"/>
      <c r="EU7" s="308"/>
      <c r="EV7" s="308"/>
      <c r="EW7" s="308"/>
      <c r="EX7" s="308"/>
      <c r="EY7" s="308"/>
      <c r="EZ7" s="308"/>
      <c r="FA7" s="308"/>
    </row>
    <row r="8" spans="1:157" ht="30" customHeight="1">
      <c r="A8" s="319" t="s">
        <v>1037</v>
      </c>
      <c r="B8" s="667">
        <v>81</v>
      </c>
      <c r="C8" s="167" t="s">
        <v>1033</v>
      </c>
      <c r="D8" s="168"/>
      <c r="E8" s="168"/>
      <c r="F8" s="168"/>
      <c r="G8" s="308"/>
      <c r="H8" s="314"/>
      <c r="I8" s="303"/>
      <c r="J8" s="311"/>
      <c r="K8" s="303"/>
      <c r="L8" s="303"/>
      <c r="M8" s="303"/>
      <c r="N8" s="308"/>
      <c r="O8" s="308"/>
      <c r="P8" s="308"/>
      <c r="Q8" s="308"/>
      <c r="R8" s="308"/>
      <c r="S8" s="308"/>
      <c r="T8" s="308"/>
      <c r="U8" s="326"/>
      <c r="V8" s="308"/>
      <c r="W8" s="326" t="s">
        <v>1038</v>
      </c>
      <c r="X8" s="308">
        <v>1.1000000000000001</v>
      </c>
      <c r="Y8" s="308"/>
      <c r="Z8" s="308"/>
      <c r="AA8" s="308"/>
      <c r="AB8" s="308"/>
      <c r="AC8" s="308"/>
      <c r="AD8" s="308"/>
      <c r="AE8" s="308"/>
      <c r="AF8" s="308"/>
      <c r="AG8" s="308"/>
      <c r="AH8" s="308"/>
      <c r="AI8" s="308"/>
      <c r="AJ8" s="308"/>
      <c r="AK8" s="308"/>
      <c r="AL8" s="212" t="s">
        <v>1039</v>
      </c>
      <c r="AM8" s="308"/>
      <c r="AN8" s="308"/>
      <c r="AO8" s="308"/>
      <c r="AP8" s="308"/>
      <c r="AQ8" s="308"/>
      <c r="AR8" s="308"/>
      <c r="AS8" s="308"/>
      <c r="AT8" s="308"/>
      <c r="AU8" s="308"/>
      <c r="AV8" s="308"/>
      <c r="AW8" s="308"/>
      <c r="AX8" s="308"/>
      <c r="AY8" s="308"/>
      <c r="AZ8" s="308"/>
      <c r="BA8" s="308"/>
      <c r="BB8" s="308"/>
      <c r="BC8" s="308"/>
      <c r="BD8" s="308"/>
      <c r="BE8" s="308"/>
      <c r="BF8" s="308"/>
      <c r="BG8" s="308"/>
      <c r="BH8" s="308"/>
      <c r="BI8" s="308"/>
      <c r="BJ8" s="308"/>
      <c r="BK8" s="308"/>
      <c r="BL8" s="308"/>
      <c r="BM8" s="308"/>
      <c r="BN8" s="308"/>
      <c r="BO8" s="308"/>
      <c r="BP8" s="308"/>
      <c r="BQ8" s="308"/>
      <c r="BR8" s="308"/>
      <c r="BS8" s="308"/>
      <c r="BT8" s="308"/>
      <c r="BU8" s="308"/>
      <c r="BV8" s="308"/>
      <c r="BW8" s="308"/>
      <c r="BX8" s="308"/>
      <c r="BY8" s="308"/>
      <c r="BZ8" s="308"/>
      <c r="CA8" s="308"/>
      <c r="CB8" s="308"/>
      <c r="CC8" s="308"/>
      <c r="CD8" s="308"/>
      <c r="CE8" s="308"/>
      <c r="CF8" s="308"/>
      <c r="CG8" s="308"/>
      <c r="CH8" s="308"/>
      <c r="CI8" s="308"/>
      <c r="CJ8" s="308"/>
      <c r="CK8" s="308"/>
      <c r="CL8" s="308"/>
      <c r="CM8" s="308"/>
      <c r="CN8" s="308"/>
      <c r="CO8" s="308"/>
      <c r="CP8" s="308"/>
      <c r="CQ8" s="308"/>
      <c r="CR8" s="308"/>
      <c r="CS8" s="308"/>
      <c r="CT8" s="308"/>
      <c r="CU8" s="308"/>
      <c r="CV8" s="308"/>
      <c r="CW8" s="308"/>
      <c r="CX8" s="308"/>
      <c r="CY8" s="308"/>
      <c r="CZ8" s="308"/>
      <c r="DA8" s="308"/>
      <c r="DB8" s="308"/>
      <c r="DC8" s="308"/>
      <c r="DD8" s="308"/>
      <c r="DE8" s="308"/>
      <c r="DF8" s="308"/>
      <c r="DG8" s="308"/>
      <c r="DH8" s="308"/>
      <c r="DI8" s="308"/>
      <c r="DJ8" s="308"/>
      <c r="DK8" s="308"/>
      <c r="DL8" s="308"/>
      <c r="DM8" s="308"/>
      <c r="DN8" s="308"/>
      <c r="DO8" s="308"/>
      <c r="DP8" s="308"/>
      <c r="DQ8" s="308"/>
      <c r="DR8" s="308"/>
      <c r="DS8" s="308"/>
      <c r="DT8" s="308"/>
      <c r="DU8" s="308"/>
      <c r="DV8" s="308"/>
      <c r="DW8" s="308"/>
      <c r="DX8" s="308"/>
      <c r="DY8" s="308"/>
      <c r="DZ8" s="308"/>
      <c r="EA8" s="308"/>
      <c r="EB8" s="308"/>
      <c r="EC8" s="308"/>
      <c r="ED8" s="308"/>
      <c r="EE8" s="308"/>
      <c r="EF8" s="308"/>
      <c r="EG8" s="308"/>
      <c r="EH8" s="308"/>
      <c r="EI8" s="308"/>
      <c r="EJ8" s="308"/>
      <c r="EK8" s="308"/>
      <c r="EL8" s="308"/>
      <c r="EM8" s="308"/>
      <c r="EN8" s="308"/>
      <c r="EO8" s="308"/>
      <c r="EP8" s="308"/>
      <c r="EQ8" s="308"/>
      <c r="ER8" s="308"/>
      <c r="ES8" s="308"/>
      <c r="ET8" s="308"/>
      <c r="EU8" s="308"/>
      <c r="EV8" s="308"/>
      <c r="EW8" s="308"/>
      <c r="EX8" s="308"/>
      <c r="EY8" s="308"/>
      <c r="EZ8" s="308"/>
      <c r="FA8" s="308"/>
    </row>
    <row r="9" spans="1:157" ht="30" customHeight="1">
      <c r="A9" s="864" t="str">
        <f>IF(N10=FALSE,"Heat Pump for Space Heating - PROCEED TO WATER HEATING","Heat Pump for Space Heating")</f>
        <v>Heat Pump for Space Heating - PROCEED TO WATER HEATING</v>
      </c>
      <c r="B9" s="864"/>
      <c r="C9" s="864"/>
      <c r="D9" s="864"/>
      <c r="E9" s="864"/>
      <c r="F9" s="864"/>
      <c r="G9" s="864"/>
      <c r="H9" s="864"/>
      <c r="I9" s="864"/>
      <c r="J9" s="311"/>
      <c r="K9" s="303"/>
      <c r="L9" s="303"/>
      <c r="M9" s="303"/>
      <c r="N9" s="308" t="s">
        <v>1482</v>
      </c>
      <c r="O9" s="308"/>
      <c r="P9" s="308"/>
      <c r="Q9" s="308"/>
      <c r="R9" s="308"/>
      <c r="S9" s="308"/>
      <c r="T9" s="308"/>
      <c r="U9" s="308"/>
      <c r="V9" s="308"/>
      <c r="W9" s="308" t="s">
        <v>903</v>
      </c>
      <c r="X9" s="308">
        <v>1.2</v>
      </c>
      <c r="Y9" s="308"/>
      <c r="Z9" s="308"/>
      <c r="AA9" s="308"/>
      <c r="AB9" s="308"/>
      <c r="AC9" s="308"/>
      <c r="AD9" s="308"/>
      <c r="AE9" s="308"/>
      <c r="AF9" s="308"/>
      <c r="AG9" s="308"/>
      <c r="AH9" s="308"/>
      <c r="AI9" s="308"/>
      <c r="AJ9" s="308"/>
      <c r="AK9" s="308"/>
      <c r="AL9" s="212" t="s">
        <v>1040</v>
      </c>
      <c r="AM9" s="308"/>
      <c r="AN9" s="308"/>
      <c r="AO9" s="308"/>
      <c r="AP9" s="308"/>
      <c r="AQ9" s="308"/>
      <c r="AR9" s="308"/>
      <c r="AS9" s="308"/>
      <c r="AT9" s="308"/>
      <c r="AU9" s="308"/>
      <c r="AV9" s="308"/>
      <c r="AW9" s="308"/>
      <c r="AX9" s="308"/>
      <c r="AY9" s="308"/>
      <c r="AZ9" s="308"/>
      <c r="BA9" s="308"/>
      <c r="BB9" s="308"/>
      <c r="BC9" s="308"/>
      <c r="BD9" s="308"/>
      <c r="BE9" s="308"/>
      <c r="BF9" s="308"/>
      <c r="BG9" s="308"/>
      <c r="BH9" s="308"/>
      <c r="BI9" s="308"/>
      <c r="BJ9" s="308"/>
      <c r="BK9" s="308"/>
      <c r="BL9" s="308"/>
      <c r="BM9" s="308"/>
      <c r="BN9" s="308"/>
      <c r="BO9" s="308"/>
      <c r="BP9" s="308"/>
      <c r="BQ9" s="308"/>
      <c r="BR9" s="308"/>
      <c r="BS9" s="308"/>
      <c r="BT9" s="308"/>
      <c r="BU9" s="308"/>
      <c r="BV9" s="308"/>
      <c r="BW9" s="308"/>
      <c r="BX9" s="308"/>
      <c r="BY9" s="308"/>
      <c r="BZ9" s="308"/>
      <c r="CA9" s="308"/>
      <c r="CB9" s="308"/>
      <c r="CC9" s="308"/>
      <c r="CD9" s="308"/>
      <c r="CE9" s="308"/>
      <c r="CF9" s="308"/>
      <c r="CG9" s="308"/>
      <c r="CH9" s="308"/>
      <c r="CI9" s="308"/>
      <c r="CJ9" s="308"/>
      <c r="CK9" s="308"/>
      <c r="CL9" s="308"/>
      <c r="CM9" s="308"/>
      <c r="CN9" s="308"/>
      <c r="CO9" s="308"/>
      <c r="CP9" s="308"/>
      <c r="CQ9" s="308"/>
      <c r="CR9" s="308"/>
      <c r="CS9" s="308"/>
      <c r="CT9" s="308"/>
      <c r="CU9" s="308"/>
      <c r="CV9" s="308"/>
      <c r="CW9" s="308"/>
      <c r="CX9" s="308"/>
      <c r="CY9" s="308"/>
      <c r="CZ9" s="308"/>
      <c r="DA9" s="308"/>
      <c r="DB9" s="308"/>
      <c r="DC9" s="308"/>
      <c r="DD9" s="308"/>
      <c r="DE9" s="308"/>
      <c r="DF9" s="308"/>
      <c r="DG9" s="308"/>
      <c r="DH9" s="308"/>
      <c r="DI9" s="308"/>
      <c r="DJ9" s="308"/>
      <c r="DK9" s="308"/>
      <c r="DL9" s="308"/>
      <c r="DM9" s="308"/>
      <c r="DN9" s="308"/>
      <c r="DO9" s="308"/>
      <c r="DP9" s="308"/>
      <c r="DQ9" s="308"/>
      <c r="DR9" s="308"/>
      <c r="DS9" s="308"/>
      <c r="DT9" s="308"/>
      <c r="DU9" s="308"/>
      <c r="DV9" s="308"/>
      <c r="DW9" s="308"/>
      <c r="DX9" s="308"/>
      <c r="DY9" s="308"/>
      <c r="DZ9" s="308"/>
      <c r="EA9" s="308"/>
      <c r="EB9" s="308"/>
      <c r="EC9" s="308"/>
      <c r="ED9" s="308"/>
      <c r="EE9" s="308"/>
      <c r="EF9" s="308"/>
      <c r="EG9" s="308"/>
      <c r="EH9" s="308"/>
      <c r="EI9" s="308"/>
      <c r="EJ9" s="308"/>
      <c r="EK9" s="308"/>
      <c r="EL9" s="308"/>
      <c r="EM9" s="308"/>
      <c r="EN9" s="308"/>
      <c r="EO9" s="308"/>
      <c r="EP9" s="308"/>
      <c r="EQ9" s="308"/>
      <c r="ER9" s="308"/>
      <c r="ES9" s="308"/>
      <c r="ET9" s="308"/>
      <c r="EU9" s="308"/>
      <c r="EV9" s="308"/>
      <c r="EW9" s="308"/>
      <c r="EX9" s="308"/>
      <c r="EY9" s="308"/>
      <c r="EZ9" s="308"/>
      <c r="FA9" s="308"/>
    </row>
    <row r="10" spans="1:157" ht="30" customHeight="1">
      <c r="A10" s="318" t="s">
        <v>1041</v>
      </c>
      <c r="B10" s="317" t="s">
        <v>2</v>
      </c>
      <c r="D10" s="860" t="s">
        <v>1042</v>
      </c>
      <c r="E10" s="860"/>
      <c r="F10" s="860"/>
      <c r="G10" s="308"/>
      <c r="H10" s="314"/>
      <c r="I10" s="303"/>
      <c r="J10" s="311"/>
      <c r="K10" s="303"/>
      <c r="L10" s="303"/>
      <c r="M10" s="303"/>
      <c r="N10" s="308" t="b">
        <f>IF(B5="No",'ER1'!N2,'ER2'!P19)</f>
        <v>0</v>
      </c>
      <c r="O10" s="308" t="s">
        <v>1483</v>
      </c>
      <c r="P10" s="308"/>
      <c r="Q10" s="308"/>
      <c r="R10" s="308"/>
      <c r="S10" s="308"/>
      <c r="T10" s="308"/>
      <c r="U10" s="308"/>
      <c r="V10" s="308"/>
      <c r="W10" s="308" t="s">
        <v>1043</v>
      </c>
      <c r="X10" s="308">
        <v>1.1000000000000001</v>
      </c>
      <c r="Y10" s="308"/>
      <c r="Z10" s="308"/>
      <c r="AA10" s="308"/>
      <c r="AB10" s="308"/>
      <c r="AC10" s="308"/>
      <c r="AD10" s="308"/>
      <c r="AE10" s="308"/>
      <c r="AF10" s="308"/>
      <c r="AG10" s="308"/>
      <c r="AH10" s="308"/>
      <c r="AI10" s="308"/>
      <c r="AJ10" s="308"/>
      <c r="AK10" s="308"/>
      <c r="AL10" s="212" t="s">
        <v>1044</v>
      </c>
      <c r="AM10" s="308"/>
      <c r="AN10" s="308"/>
      <c r="AO10" s="308"/>
      <c r="AP10" s="308"/>
      <c r="AQ10" s="308"/>
      <c r="AR10" s="308"/>
      <c r="AS10" s="308"/>
      <c r="AT10" s="308"/>
      <c r="AU10" s="308"/>
      <c r="AV10" s="308"/>
      <c r="AW10" s="308"/>
      <c r="AX10" s="308"/>
      <c r="AY10" s="308"/>
      <c r="AZ10" s="308"/>
      <c r="BA10" s="308"/>
      <c r="BB10" s="308"/>
      <c r="BC10" s="308"/>
      <c r="BD10" s="308"/>
      <c r="BE10" s="308"/>
      <c r="BF10" s="308"/>
      <c r="BG10" s="308"/>
      <c r="BH10" s="308"/>
      <c r="BI10" s="308"/>
      <c r="BJ10" s="308"/>
      <c r="BK10" s="308"/>
      <c r="BL10" s="308"/>
      <c r="BM10" s="308"/>
      <c r="BN10" s="308"/>
      <c r="BO10" s="308"/>
      <c r="BP10" s="308"/>
      <c r="BQ10" s="308"/>
      <c r="BR10" s="308"/>
      <c r="BS10" s="308"/>
      <c r="BT10" s="308"/>
      <c r="BU10" s="308"/>
      <c r="BV10" s="308"/>
      <c r="BW10" s="308"/>
      <c r="BX10" s="308"/>
      <c r="BY10" s="308"/>
      <c r="BZ10" s="308"/>
      <c r="CA10" s="308"/>
      <c r="CB10" s="308"/>
      <c r="CC10" s="308"/>
      <c r="CD10" s="308"/>
      <c r="CE10" s="308"/>
      <c r="CF10" s="308"/>
      <c r="CG10" s="308"/>
      <c r="CH10" s="308"/>
      <c r="CI10" s="308"/>
      <c r="CJ10" s="308"/>
      <c r="CK10" s="308"/>
      <c r="CL10" s="308"/>
      <c r="CM10" s="308"/>
      <c r="CN10" s="308"/>
      <c r="CO10" s="308"/>
      <c r="CP10" s="308"/>
      <c r="CQ10" s="308"/>
      <c r="CR10" s="308"/>
      <c r="CS10" s="308"/>
      <c r="CT10" s="308"/>
      <c r="CU10" s="308"/>
      <c r="CV10" s="308"/>
      <c r="CW10" s="308"/>
      <c r="CX10" s="308"/>
      <c r="CY10" s="308"/>
      <c r="CZ10" s="308"/>
      <c r="DA10" s="308"/>
      <c r="DB10" s="308"/>
      <c r="DC10" s="308"/>
      <c r="DD10" s="308"/>
      <c r="DE10" s="308"/>
      <c r="DF10" s="308"/>
      <c r="DG10" s="308"/>
      <c r="DH10" s="308"/>
      <c r="DI10" s="308"/>
      <c r="DJ10" s="308"/>
      <c r="DK10" s="308"/>
      <c r="DL10" s="308"/>
      <c r="DM10" s="308"/>
      <c r="DN10" s="308"/>
      <c r="DO10" s="308"/>
      <c r="DP10" s="308"/>
      <c r="DQ10" s="308"/>
      <c r="DR10" s="308"/>
      <c r="DS10" s="308"/>
      <c r="DT10" s="308"/>
      <c r="DU10" s="308"/>
      <c r="DV10" s="308"/>
      <c r="DW10" s="308"/>
      <c r="DX10" s="308"/>
      <c r="DY10" s="308"/>
      <c r="DZ10" s="308"/>
      <c r="EA10" s="308"/>
      <c r="EB10" s="308"/>
      <c r="EC10" s="308"/>
      <c r="ED10" s="308"/>
      <c r="EE10" s="308"/>
      <c r="EF10" s="308"/>
      <c r="EG10" s="308"/>
      <c r="EH10" s="308"/>
      <c r="EI10" s="308"/>
      <c r="EJ10" s="308"/>
      <c r="EK10" s="308"/>
      <c r="EL10" s="308"/>
      <c r="EM10" s="308"/>
      <c r="EN10" s="308"/>
      <c r="EO10" s="308"/>
      <c r="EP10" s="308"/>
      <c r="EQ10" s="308"/>
      <c r="ER10" s="308"/>
      <c r="ES10" s="308"/>
      <c r="ET10" s="308"/>
      <c r="EU10" s="308"/>
      <c r="EV10" s="308"/>
      <c r="EW10" s="308"/>
      <c r="EX10" s="308"/>
      <c r="EY10" s="308"/>
      <c r="EZ10" s="308"/>
      <c r="FA10" s="308"/>
    </row>
    <row r="11" spans="1:157" ht="30" customHeight="1">
      <c r="A11" s="169" t="s">
        <v>1045</v>
      </c>
      <c r="B11" s="309" t="s">
        <v>2</v>
      </c>
      <c r="D11" s="860" t="s">
        <v>1042</v>
      </c>
      <c r="E11" s="860"/>
      <c r="F11" s="860"/>
      <c r="G11" s="308"/>
      <c r="H11" s="314"/>
      <c r="I11" s="303"/>
      <c r="J11" s="311"/>
      <c r="K11" s="303"/>
      <c r="L11" s="303"/>
      <c r="M11" s="303"/>
      <c r="N11" s="308" t="b">
        <f>IF(B5="No",'ER1'!N12,'ER2'!S19)</f>
        <v>0</v>
      </c>
      <c r="O11" s="308" t="s">
        <v>1484</v>
      </c>
      <c r="P11" s="308"/>
      <c r="Q11" s="308"/>
      <c r="R11" s="308"/>
      <c r="S11" s="308"/>
      <c r="T11" s="308"/>
      <c r="U11" s="308"/>
      <c r="V11" s="308"/>
      <c r="W11" s="308" t="s">
        <v>1046</v>
      </c>
      <c r="X11" s="308">
        <v>1.1000000000000001</v>
      </c>
      <c r="Y11" s="308"/>
      <c r="Z11" s="308"/>
      <c r="AA11" s="308"/>
      <c r="AB11" s="308"/>
      <c r="AC11" s="308"/>
      <c r="AD11" s="308"/>
      <c r="AE11" s="308"/>
      <c r="AF11" s="308"/>
      <c r="AG11" s="308"/>
      <c r="AH11" s="308"/>
      <c r="AI11" s="308"/>
      <c r="AJ11" s="308"/>
      <c r="AK11" s="308"/>
      <c r="AL11" s="308"/>
      <c r="AM11" s="308"/>
      <c r="AN11" s="308"/>
      <c r="AO11" s="308"/>
      <c r="AP11" s="308"/>
      <c r="AQ11" s="308"/>
      <c r="AR11" s="308"/>
      <c r="AS11" s="308"/>
      <c r="AT11" s="308"/>
      <c r="AU11" s="308"/>
      <c r="AV11" s="308"/>
      <c r="AW11" s="308"/>
      <c r="AX11" s="308"/>
      <c r="AY11" s="308"/>
      <c r="AZ11" s="308"/>
      <c r="BA11" s="308"/>
      <c r="BB11" s="308"/>
      <c r="BC11" s="308"/>
      <c r="BD11" s="308"/>
      <c r="BE11" s="308"/>
      <c r="BF11" s="308"/>
      <c r="BG11" s="308"/>
      <c r="BH11" s="308"/>
      <c r="BI11" s="308"/>
      <c r="BJ11" s="308"/>
      <c r="BK11" s="308"/>
      <c r="BL11" s="308"/>
      <c r="BM11" s="308"/>
      <c r="BN11" s="308"/>
      <c r="BO11" s="308"/>
      <c r="BP11" s="308"/>
      <c r="BQ11" s="308"/>
      <c r="BR11" s="308"/>
      <c r="BS11" s="308"/>
      <c r="BT11" s="308"/>
      <c r="BU11" s="308"/>
      <c r="BV11" s="308"/>
      <c r="BW11" s="308"/>
      <c r="BX11" s="308"/>
      <c r="BY11" s="308"/>
      <c r="BZ11" s="308"/>
      <c r="CA11" s="308"/>
      <c r="CB11" s="308"/>
      <c r="CC11" s="308"/>
      <c r="CD11" s="308"/>
      <c r="CE11" s="308"/>
      <c r="CF11" s="308"/>
      <c r="CG11" s="308"/>
      <c r="CH11" s="308"/>
      <c r="CI11" s="308"/>
      <c r="CJ11" s="308"/>
      <c r="CK11" s="308"/>
      <c r="CL11" s="308"/>
      <c r="CM11" s="308"/>
      <c r="CN11" s="308"/>
      <c r="CO11" s="308"/>
      <c r="CP11" s="308"/>
      <c r="CQ11" s="308"/>
      <c r="CR11" s="308"/>
      <c r="CS11" s="308"/>
      <c r="CT11" s="308"/>
      <c r="CU11" s="308"/>
      <c r="CV11" s="308"/>
      <c r="CW11" s="308"/>
      <c r="CX11" s="308"/>
      <c r="CY11" s="308"/>
      <c r="CZ11" s="308"/>
      <c r="DA11" s="308"/>
      <c r="DB11" s="308"/>
      <c r="DC11" s="308"/>
      <c r="DD11" s="308"/>
      <c r="DE11" s="308"/>
      <c r="DF11" s="308"/>
      <c r="DG11" s="308"/>
      <c r="DH11" s="308"/>
      <c r="DI11" s="308"/>
      <c r="DJ11" s="308"/>
      <c r="DK11" s="308"/>
      <c r="DL11" s="308"/>
      <c r="DM11" s="308"/>
      <c r="DN11" s="308"/>
      <c r="DO11" s="308"/>
      <c r="DP11" s="308"/>
      <c r="DQ11" s="308"/>
      <c r="DR11" s="308"/>
      <c r="DS11" s="308"/>
      <c r="DT11" s="308"/>
      <c r="DU11" s="308"/>
      <c r="DV11" s="308"/>
      <c r="DW11" s="308"/>
      <c r="DX11" s="308"/>
      <c r="DY11" s="308"/>
      <c r="DZ11" s="308"/>
      <c r="EA11" s="308"/>
      <c r="EB11" s="308"/>
      <c r="EC11" s="308"/>
      <c r="ED11" s="308"/>
      <c r="EE11" s="308"/>
      <c r="EF11" s="308"/>
      <c r="EG11" s="308"/>
      <c r="EH11" s="308"/>
      <c r="EI11" s="308"/>
      <c r="EJ11" s="308"/>
      <c r="EK11" s="308"/>
      <c r="EL11" s="308"/>
      <c r="EM11" s="308"/>
      <c r="EN11" s="308"/>
      <c r="EO11" s="308"/>
      <c r="EP11" s="308"/>
      <c r="EQ11" s="308"/>
      <c r="ER11" s="308"/>
      <c r="ES11" s="308"/>
      <c r="ET11" s="308"/>
      <c r="EU11" s="308"/>
      <c r="EV11" s="308"/>
      <c r="EW11" s="308"/>
      <c r="EX11" s="308"/>
      <c r="EY11" s="308"/>
      <c r="EZ11" s="308"/>
      <c r="FA11" s="308"/>
    </row>
    <row r="12" spans="1:157" ht="30" customHeight="1">
      <c r="A12" s="169" t="s">
        <v>1047</v>
      </c>
      <c r="B12" s="309" t="s">
        <v>987</v>
      </c>
      <c r="D12" s="860" t="s">
        <v>1042</v>
      </c>
      <c r="E12" s="860"/>
      <c r="F12" s="860"/>
      <c r="G12" s="308"/>
      <c r="H12" s="314"/>
      <c r="I12" s="303"/>
      <c r="J12" s="311"/>
      <c r="K12" s="303"/>
      <c r="L12" s="303"/>
      <c r="M12" s="303"/>
      <c r="N12" s="308" t="b">
        <f>IF(AND(N10=TRUE,N11=TRUE),IF(B67="Same Heat Pump providing Space Heating and Domestic Hot Water",TRUE,FALSE),FALSE)</f>
        <v>0</v>
      </c>
      <c r="O12" s="308" t="s">
        <v>1489</v>
      </c>
      <c r="P12" s="308"/>
      <c r="Q12" s="308"/>
      <c r="R12" s="308"/>
      <c r="S12" s="308"/>
      <c r="T12" s="308"/>
      <c r="U12" s="308"/>
      <c r="V12" s="308"/>
      <c r="W12" s="308" t="s">
        <v>1048</v>
      </c>
      <c r="X12" s="308">
        <v>1.1000000000000001</v>
      </c>
      <c r="Y12" s="308"/>
      <c r="Z12" s="308"/>
      <c r="AA12" s="308"/>
      <c r="AB12" s="308"/>
      <c r="AC12" s="308"/>
      <c r="AD12" s="308"/>
      <c r="AE12" s="308"/>
      <c r="AF12" s="308"/>
      <c r="AG12" s="308"/>
      <c r="AH12" s="308"/>
      <c r="AI12" s="308"/>
      <c r="AJ12" s="308"/>
      <c r="AK12" s="308"/>
      <c r="AL12" s="308"/>
      <c r="AM12" s="308"/>
      <c r="AN12" s="308"/>
      <c r="AO12" s="308"/>
      <c r="AP12" s="308"/>
      <c r="AQ12" s="308"/>
      <c r="AR12" s="308"/>
      <c r="AS12" s="308"/>
      <c r="AT12" s="308"/>
      <c r="AU12" s="308"/>
      <c r="AV12" s="308"/>
      <c r="AW12" s="308"/>
      <c r="AX12" s="308"/>
      <c r="AY12" s="308"/>
      <c r="AZ12" s="308"/>
      <c r="BA12" s="308"/>
      <c r="BB12" s="308"/>
      <c r="BC12" s="308"/>
      <c r="BD12" s="308"/>
      <c r="BE12" s="308"/>
      <c r="BF12" s="308"/>
      <c r="BG12" s="308"/>
      <c r="BH12" s="308"/>
      <c r="BI12" s="308"/>
      <c r="BJ12" s="308"/>
      <c r="BK12" s="308"/>
      <c r="BL12" s="308"/>
      <c r="BM12" s="308"/>
      <c r="BN12" s="308"/>
      <c r="BO12" s="308"/>
      <c r="BP12" s="308"/>
      <c r="BQ12" s="308"/>
      <c r="BR12" s="308"/>
      <c r="BS12" s="308"/>
      <c r="BT12" s="308"/>
      <c r="BU12" s="308"/>
      <c r="BV12" s="308"/>
      <c r="BW12" s="308"/>
      <c r="BX12" s="308"/>
      <c r="BY12" s="308"/>
      <c r="BZ12" s="308"/>
      <c r="CA12" s="308"/>
      <c r="CB12" s="308"/>
      <c r="CC12" s="308"/>
      <c r="CD12" s="308"/>
      <c r="CE12" s="308"/>
      <c r="CF12" s="308"/>
      <c r="CG12" s="308"/>
      <c r="CH12" s="308"/>
      <c r="CI12" s="308"/>
      <c r="CJ12" s="308"/>
      <c r="CK12" s="308"/>
      <c r="CL12" s="308"/>
      <c r="CM12" s="308"/>
      <c r="CN12" s="308"/>
      <c r="CO12" s="308"/>
      <c r="CP12" s="308"/>
      <c r="CQ12" s="308"/>
      <c r="CR12" s="308"/>
      <c r="CS12" s="308"/>
      <c r="CT12" s="308"/>
      <c r="CU12" s="308"/>
      <c r="CV12" s="308"/>
      <c r="CW12" s="308"/>
      <c r="CX12" s="308"/>
      <c r="CY12" s="308"/>
      <c r="CZ12" s="308"/>
      <c r="DA12" s="308"/>
      <c r="DB12" s="308"/>
      <c r="DC12" s="308"/>
      <c r="DD12" s="308"/>
      <c r="DE12" s="308"/>
      <c r="DF12" s="308"/>
      <c r="DG12" s="308"/>
      <c r="DH12" s="308"/>
      <c r="DI12" s="308"/>
      <c r="DJ12" s="308"/>
      <c r="DK12" s="308"/>
      <c r="DL12" s="308"/>
      <c r="DM12" s="308"/>
      <c r="DN12" s="308"/>
      <c r="DO12" s="308"/>
      <c r="DP12" s="308"/>
      <c r="DQ12" s="308"/>
      <c r="DR12" s="308"/>
      <c r="DS12" s="308"/>
      <c r="DT12" s="308"/>
      <c r="DU12" s="308"/>
      <c r="DV12" s="308"/>
      <c r="DW12" s="308"/>
      <c r="DX12" s="308"/>
      <c r="DY12" s="308"/>
      <c r="DZ12" s="308"/>
      <c r="EA12" s="308"/>
      <c r="EB12" s="308"/>
      <c r="EC12" s="308"/>
      <c r="ED12" s="308"/>
      <c r="EE12" s="308"/>
      <c r="EF12" s="308"/>
      <c r="EG12" s="308"/>
      <c r="EH12" s="308"/>
      <c r="EI12" s="308"/>
      <c r="EJ12" s="308"/>
      <c r="EK12" s="308"/>
      <c r="EL12" s="308"/>
      <c r="EM12" s="308"/>
      <c r="EN12" s="308"/>
      <c r="EO12" s="308"/>
      <c r="EP12" s="308"/>
      <c r="EQ12" s="308"/>
      <c r="ER12" s="308"/>
      <c r="ES12" s="308"/>
      <c r="ET12" s="308"/>
      <c r="EU12" s="308"/>
      <c r="EV12" s="308"/>
      <c r="EW12" s="308"/>
      <c r="EX12" s="308"/>
      <c r="EY12" s="308"/>
      <c r="EZ12" s="308"/>
      <c r="FA12" s="308"/>
    </row>
    <row r="13" spans="1:157" ht="30" customHeight="1">
      <c r="A13" s="169" t="s">
        <v>1049</v>
      </c>
      <c r="B13" s="309" t="s">
        <v>998</v>
      </c>
      <c r="D13" s="860" t="s">
        <v>1050</v>
      </c>
      <c r="E13" s="860"/>
      <c r="F13" s="860"/>
      <c r="G13" s="308"/>
      <c r="H13" s="314"/>
      <c r="I13" s="303"/>
      <c r="J13" s="311"/>
      <c r="K13" s="303"/>
      <c r="L13" s="303"/>
      <c r="M13" s="303"/>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8"/>
      <c r="AR13" s="308"/>
      <c r="AS13" s="308"/>
      <c r="AT13" s="308"/>
      <c r="AU13" s="308"/>
      <c r="AV13" s="308"/>
      <c r="AW13" s="308"/>
      <c r="AX13" s="308"/>
      <c r="AY13" s="308"/>
      <c r="AZ13" s="308"/>
      <c r="BA13" s="308"/>
      <c r="BB13" s="308"/>
      <c r="BC13" s="308"/>
      <c r="BD13" s="308"/>
      <c r="BE13" s="308"/>
      <c r="BF13" s="308"/>
      <c r="BG13" s="308"/>
      <c r="BH13" s="308"/>
      <c r="BI13" s="308"/>
      <c r="BJ13" s="308"/>
      <c r="BK13" s="308"/>
      <c r="BL13" s="308"/>
      <c r="BM13" s="308"/>
      <c r="BN13" s="308"/>
      <c r="BO13" s="308"/>
      <c r="BP13" s="308"/>
      <c r="BQ13" s="308"/>
      <c r="BR13" s="308"/>
      <c r="BS13" s="308"/>
      <c r="BT13" s="308"/>
      <c r="BU13" s="308"/>
      <c r="BV13" s="308"/>
      <c r="BW13" s="308"/>
      <c r="BX13" s="308"/>
      <c r="BY13" s="308"/>
      <c r="BZ13" s="308"/>
      <c r="CA13" s="308"/>
      <c r="CB13" s="308"/>
      <c r="CC13" s="308"/>
      <c r="CD13" s="308"/>
      <c r="CE13" s="308"/>
      <c r="CF13" s="308"/>
      <c r="CG13" s="308"/>
      <c r="CH13" s="308"/>
      <c r="CI13" s="308"/>
      <c r="CJ13" s="308"/>
      <c r="CK13" s="308"/>
      <c r="CL13" s="308"/>
      <c r="CM13" s="308"/>
      <c r="CN13" s="308"/>
      <c r="CO13" s="308"/>
      <c r="CP13" s="308"/>
      <c r="CQ13" s="308"/>
      <c r="CR13" s="308"/>
      <c r="CS13" s="308"/>
      <c r="CT13" s="308"/>
      <c r="CU13" s="308"/>
      <c r="CV13" s="308"/>
      <c r="CW13" s="308"/>
      <c r="CX13" s="308"/>
      <c r="CY13" s="308"/>
      <c r="CZ13" s="308"/>
      <c r="DA13" s="308"/>
      <c r="DB13" s="308"/>
      <c r="DC13" s="308"/>
      <c r="DD13" s="308"/>
      <c r="DE13" s="308"/>
      <c r="DF13" s="308"/>
      <c r="DG13" s="308"/>
      <c r="DH13" s="308"/>
      <c r="DI13" s="308"/>
      <c r="DJ13" s="308"/>
      <c r="DK13" s="308"/>
      <c r="DL13" s="308"/>
      <c r="DM13" s="308"/>
      <c r="DN13" s="308"/>
      <c r="DO13" s="308"/>
      <c r="DP13" s="308"/>
      <c r="DQ13" s="308"/>
      <c r="DR13" s="308"/>
      <c r="DS13" s="308"/>
      <c r="DT13" s="308"/>
      <c r="DU13" s="308"/>
      <c r="DV13" s="308"/>
      <c r="DW13" s="308"/>
      <c r="DX13" s="308"/>
      <c r="DY13" s="308"/>
      <c r="DZ13" s="308"/>
      <c r="EA13" s="308"/>
      <c r="EB13" s="308"/>
      <c r="EC13" s="308"/>
      <c r="ED13" s="308"/>
      <c r="EE13" s="308"/>
      <c r="EF13" s="308"/>
      <c r="EG13" s="308"/>
      <c r="EH13" s="308"/>
      <c r="EI13" s="308"/>
      <c r="EJ13" s="308"/>
      <c r="EK13" s="308"/>
      <c r="EL13" s="308"/>
      <c r="EM13" s="308"/>
      <c r="EN13" s="308"/>
      <c r="EO13" s="308"/>
      <c r="EP13" s="308"/>
      <c r="EQ13" s="308"/>
      <c r="ER13" s="308"/>
      <c r="ES13" s="308"/>
      <c r="ET13" s="308"/>
      <c r="EU13" s="308"/>
      <c r="EV13" s="308"/>
      <c r="EW13" s="308"/>
      <c r="EX13" s="308"/>
      <c r="EY13" s="308"/>
      <c r="EZ13" s="308"/>
      <c r="FA13" s="308"/>
    </row>
    <row r="14" spans="1:157" ht="30" customHeight="1">
      <c r="A14" s="169" t="s">
        <v>1051</v>
      </c>
      <c r="B14" s="315" t="s">
        <v>995</v>
      </c>
      <c r="D14" s="860" t="s">
        <v>1052</v>
      </c>
      <c r="E14" s="860"/>
      <c r="F14" s="860"/>
      <c r="G14" s="308"/>
      <c r="H14" s="314"/>
      <c r="I14" s="303"/>
      <c r="J14" s="311"/>
      <c r="K14" s="303"/>
      <c r="L14" s="303"/>
      <c r="M14" s="303"/>
      <c r="N14" s="308"/>
      <c r="O14" s="308"/>
      <c r="P14" s="308"/>
      <c r="Q14" s="308"/>
      <c r="R14" s="308"/>
      <c r="S14" s="308"/>
      <c r="T14" s="308"/>
      <c r="U14" s="308"/>
      <c r="V14" s="308"/>
      <c r="W14" s="308"/>
      <c r="X14" s="308"/>
      <c r="Y14" s="308"/>
      <c r="Z14" s="308"/>
      <c r="AA14" s="308"/>
      <c r="AB14" s="308"/>
      <c r="AC14" s="308"/>
      <c r="AD14" s="308"/>
      <c r="AE14" s="308"/>
      <c r="AF14" s="308"/>
      <c r="AG14" s="308"/>
      <c r="AH14" s="308"/>
      <c r="AI14" s="308"/>
      <c r="AJ14" s="308"/>
      <c r="AK14" s="308"/>
      <c r="AL14" s="308"/>
      <c r="AM14" s="308"/>
      <c r="AN14" s="308"/>
      <c r="AO14" s="308"/>
      <c r="AP14" s="308"/>
      <c r="AQ14" s="308"/>
      <c r="AR14" s="308"/>
      <c r="AS14" s="308"/>
      <c r="AT14" s="308"/>
      <c r="AU14" s="308"/>
      <c r="AV14" s="308"/>
      <c r="AW14" s="308"/>
      <c r="AX14" s="308"/>
      <c r="AY14" s="308"/>
      <c r="AZ14" s="308"/>
      <c r="BA14" s="308"/>
      <c r="BB14" s="308"/>
      <c r="BC14" s="308"/>
      <c r="BD14" s="308"/>
      <c r="BE14" s="308"/>
      <c r="BF14" s="308"/>
      <c r="BG14" s="308"/>
      <c r="BH14" s="308"/>
      <c r="BI14" s="308"/>
      <c r="BJ14" s="308"/>
      <c r="BK14" s="308"/>
      <c r="BL14" s="308"/>
      <c r="BM14" s="308"/>
      <c r="BN14" s="308"/>
      <c r="BO14" s="308"/>
      <c r="BP14" s="308"/>
      <c r="BQ14" s="308"/>
      <c r="BR14" s="308"/>
      <c r="BS14" s="308"/>
      <c r="BT14" s="308"/>
      <c r="BU14" s="308"/>
      <c r="BV14" s="308"/>
      <c r="BW14" s="308"/>
      <c r="BX14" s="308"/>
      <c r="BY14" s="308"/>
      <c r="BZ14" s="308"/>
      <c r="CA14" s="308"/>
      <c r="CB14" s="308"/>
      <c r="CC14" s="308"/>
      <c r="CD14" s="308"/>
      <c r="CE14" s="308"/>
      <c r="CF14" s="308"/>
      <c r="CG14" s="308"/>
      <c r="CH14" s="308"/>
      <c r="CI14" s="308"/>
      <c r="CJ14" s="308"/>
      <c r="CK14" s="308"/>
      <c r="CL14" s="308"/>
      <c r="CM14" s="308"/>
      <c r="CN14" s="308"/>
      <c r="CO14" s="308"/>
      <c r="CP14" s="308"/>
      <c r="CQ14" s="308"/>
      <c r="CR14" s="308"/>
      <c r="CS14" s="308"/>
      <c r="CT14" s="308"/>
      <c r="CU14" s="308"/>
      <c r="CV14" s="308"/>
      <c r="CW14" s="308"/>
      <c r="CX14" s="308"/>
      <c r="CY14" s="308"/>
      <c r="CZ14" s="308"/>
      <c r="DA14" s="308"/>
      <c r="DB14" s="308"/>
      <c r="DC14" s="308"/>
      <c r="DD14" s="308"/>
      <c r="DE14" s="308"/>
      <c r="DF14" s="308"/>
      <c r="DG14" s="308"/>
      <c r="DH14" s="308"/>
      <c r="DI14" s="308"/>
      <c r="DJ14" s="308"/>
      <c r="DK14" s="308"/>
      <c r="DL14" s="308"/>
      <c r="DM14" s="308"/>
      <c r="DN14" s="308"/>
      <c r="DO14" s="308"/>
      <c r="DP14" s="308"/>
      <c r="DQ14" s="308"/>
      <c r="DR14" s="308"/>
      <c r="DS14" s="308"/>
      <c r="DT14" s="308"/>
      <c r="DU14" s="308"/>
      <c r="DV14" s="308"/>
      <c r="DW14" s="308"/>
      <c r="DX14" s="308"/>
      <c r="DY14" s="308"/>
      <c r="DZ14" s="308"/>
      <c r="EA14" s="308"/>
      <c r="EB14" s="308"/>
      <c r="EC14" s="308"/>
      <c r="ED14" s="308"/>
      <c r="EE14" s="308"/>
      <c r="EF14" s="308"/>
      <c r="EG14" s="308"/>
      <c r="EH14" s="308"/>
      <c r="EI14" s="308"/>
      <c r="EJ14" s="308"/>
      <c r="EK14" s="308"/>
      <c r="EL14" s="308"/>
      <c r="EM14" s="308"/>
      <c r="EN14" s="308"/>
      <c r="EO14" s="308"/>
      <c r="EP14" s="308"/>
      <c r="EQ14" s="308"/>
      <c r="ER14" s="308"/>
      <c r="ES14" s="308"/>
      <c r="ET14" s="308"/>
      <c r="EU14" s="308"/>
      <c r="EV14" s="308"/>
      <c r="EW14" s="308"/>
      <c r="EX14" s="308"/>
      <c r="EY14" s="308"/>
      <c r="EZ14" s="308"/>
      <c r="FA14" s="308"/>
    </row>
    <row r="15" spans="1:157" ht="30" customHeight="1">
      <c r="A15" s="316" t="s">
        <v>1053</v>
      </c>
      <c r="B15" s="315" t="s">
        <v>2</v>
      </c>
      <c r="C15" s="327" t="s">
        <v>1054</v>
      </c>
      <c r="D15" s="860" t="s">
        <v>1055</v>
      </c>
      <c r="E15" s="860"/>
      <c r="F15" s="860"/>
      <c r="G15" s="308"/>
      <c r="H15" s="314"/>
      <c r="I15" s="303"/>
      <c r="J15" s="311"/>
      <c r="K15" s="303"/>
      <c r="L15" s="303"/>
      <c r="M15" s="303"/>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308"/>
      <c r="AP15" s="308"/>
      <c r="AQ15" s="308"/>
      <c r="AR15" s="308"/>
      <c r="AS15" s="308"/>
      <c r="AT15" s="308"/>
      <c r="AU15" s="308"/>
      <c r="AV15" s="308"/>
      <c r="AW15" s="308"/>
      <c r="AX15" s="308"/>
      <c r="AY15" s="308"/>
      <c r="AZ15" s="308"/>
      <c r="BA15" s="308"/>
      <c r="BB15" s="308"/>
      <c r="BC15" s="308"/>
      <c r="BD15" s="308"/>
      <c r="BE15" s="308"/>
      <c r="BF15" s="308"/>
      <c r="BG15" s="308"/>
      <c r="BH15" s="308"/>
      <c r="BI15" s="308"/>
      <c r="BJ15" s="308"/>
      <c r="BK15" s="308"/>
      <c r="BL15" s="308"/>
      <c r="BM15" s="308"/>
      <c r="BN15" s="308"/>
      <c r="BO15" s="308"/>
      <c r="BP15" s="308"/>
      <c r="BQ15" s="308"/>
      <c r="BR15" s="308"/>
      <c r="BS15" s="308"/>
      <c r="BT15" s="308"/>
      <c r="BU15" s="308"/>
      <c r="BV15" s="308"/>
      <c r="BW15" s="308"/>
      <c r="BX15" s="308"/>
      <c r="BY15" s="308"/>
      <c r="BZ15" s="308"/>
      <c r="CA15" s="308"/>
      <c r="CB15" s="308"/>
      <c r="CC15" s="308"/>
      <c r="CD15" s="308"/>
      <c r="CE15" s="308"/>
      <c r="CF15" s="308"/>
      <c r="CG15" s="308"/>
      <c r="CH15" s="308"/>
      <c r="CI15" s="308"/>
      <c r="CJ15" s="308"/>
      <c r="CK15" s="308"/>
      <c r="CL15" s="308"/>
      <c r="CM15" s="308"/>
      <c r="CN15" s="308"/>
      <c r="CO15" s="308"/>
      <c r="CP15" s="308"/>
      <c r="CQ15" s="308"/>
      <c r="CR15" s="308"/>
      <c r="CS15" s="308"/>
      <c r="CT15" s="308"/>
      <c r="CU15" s="308"/>
      <c r="CV15" s="308"/>
      <c r="CW15" s="308"/>
      <c r="CX15" s="308"/>
      <c r="CY15" s="308"/>
      <c r="CZ15" s="308"/>
      <c r="DA15" s="308"/>
      <c r="DB15" s="308"/>
      <c r="DC15" s="308"/>
      <c r="DD15" s="308"/>
      <c r="DE15" s="308"/>
      <c r="DF15" s="308"/>
      <c r="DG15" s="308"/>
      <c r="DH15" s="308"/>
      <c r="DI15" s="308"/>
      <c r="DJ15" s="308"/>
      <c r="DK15" s="308"/>
      <c r="DL15" s="308"/>
      <c r="DM15" s="308"/>
      <c r="DN15" s="308"/>
      <c r="DO15" s="308"/>
      <c r="DP15" s="308"/>
      <c r="DQ15" s="308"/>
      <c r="DR15" s="308"/>
      <c r="DS15" s="308"/>
      <c r="DT15" s="308"/>
      <c r="DU15" s="308"/>
      <c r="DV15" s="308"/>
      <c r="DW15" s="308"/>
      <c r="DX15" s="308"/>
      <c r="DY15" s="308"/>
      <c r="DZ15" s="308"/>
      <c r="EA15" s="308"/>
      <c r="EB15" s="308"/>
      <c r="EC15" s="308"/>
      <c r="ED15" s="308"/>
      <c r="EE15" s="308"/>
      <c r="EF15" s="308"/>
      <c r="EG15" s="308"/>
      <c r="EH15" s="308"/>
      <c r="EI15" s="308"/>
      <c r="EJ15" s="308"/>
      <c r="EK15" s="308"/>
      <c r="EL15" s="308"/>
      <c r="EM15" s="308"/>
      <c r="EN15" s="308"/>
      <c r="EO15" s="308"/>
      <c r="EP15" s="308"/>
      <c r="EQ15" s="308"/>
      <c r="ER15" s="308"/>
      <c r="ES15" s="308"/>
      <c r="ET15" s="308"/>
      <c r="EU15" s="308"/>
      <c r="EV15" s="308"/>
      <c r="EW15" s="308"/>
      <c r="EX15" s="308"/>
      <c r="EY15" s="308"/>
      <c r="EZ15" s="308"/>
      <c r="FA15" s="308"/>
    </row>
    <row r="16" spans="1:157" ht="30" customHeight="1">
      <c r="A16" s="316" t="s">
        <v>1056</v>
      </c>
      <c r="B16" s="315" t="s">
        <v>2</v>
      </c>
      <c r="C16" s="327" t="s">
        <v>1054</v>
      </c>
      <c r="D16" s="860" t="s">
        <v>1055</v>
      </c>
      <c r="E16" s="860"/>
      <c r="F16" s="860"/>
      <c r="G16" s="308"/>
      <c r="H16" s="314"/>
      <c r="I16" s="303"/>
      <c r="J16" s="311"/>
      <c r="K16" s="303"/>
      <c r="L16" s="303"/>
      <c r="M16" s="303"/>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8"/>
      <c r="AK16" s="308"/>
      <c r="AL16" s="308"/>
      <c r="AM16" s="308"/>
      <c r="AN16" s="308"/>
      <c r="AO16" s="308"/>
      <c r="AP16" s="308"/>
      <c r="AQ16" s="308"/>
      <c r="AR16" s="308"/>
      <c r="AS16" s="308"/>
      <c r="AT16" s="308"/>
      <c r="AU16" s="308"/>
      <c r="AV16" s="308"/>
      <c r="AW16" s="308"/>
      <c r="AX16" s="308"/>
      <c r="AY16" s="308"/>
      <c r="AZ16" s="308"/>
      <c r="BA16" s="308"/>
      <c r="BB16" s="308"/>
      <c r="BC16" s="308"/>
      <c r="BD16" s="308"/>
      <c r="BE16" s="308"/>
      <c r="BF16" s="308"/>
      <c r="BG16" s="308"/>
      <c r="BH16" s="308"/>
      <c r="BI16" s="308"/>
      <c r="BJ16" s="308"/>
      <c r="BK16" s="308"/>
      <c r="BL16" s="308"/>
      <c r="BM16" s="308"/>
      <c r="BN16" s="308"/>
      <c r="BO16" s="308"/>
      <c r="BP16" s="308"/>
      <c r="BQ16" s="308"/>
      <c r="BR16" s="308"/>
      <c r="BS16" s="308"/>
      <c r="BT16" s="308"/>
      <c r="BU16" s="308"/>
      <c r="BV16" s="308"/>
      <c r="BW16" s="308"/>
      <c r="BX16" s="308"/>
      <c r="BY16" s="308"/>
      <c r="BZ16" s="308"/>
      <c r="CA16" s="308"/>
      <c r="CB16" s="308"/>
      <c r="CC16" s="308"/>
      <c r="CD16" s="308"/>
      <c r="CE16" s="308"/>
      <c r="CF16" s="308"/>
      <c r="CG16" s="308"/>
      <c r="CH16" s="308"/>
      <c r="CI16" s="308"/>
      <c r="CJ16" s="308"/>
      <c r="CK16" s="308"/>
      <c r="CL16" s="308"/>
      <c r="CM16" s="308"/>
      <c r="CN16" s="308"/>
      <c r="CO16" s="308"/>
      <c r="CP16" s="308"/>
      <c r="CQ16" s="308"/>
      <c r="CR16" s="308"/>
      <c r="CS16" s="308"/>
      <c r="CT16" s="308"/>
      <c r="CU16" s="308"/>
      <c r="CV16" s="308"/>
      <c r="CW16" s="308"/>
      <c r="CX16" s="308"/>
      <c r="CY16" s="308"/>
      <c r="CZ16" s="308"/>
      <c r="DA16" s="308"/>
      <c r="DB16" s="308"/>
      <c r="DC16" s="308"/>
      <c r="DD16" s="308"/>
      <c r="DE16" s="308"/>
      <c r="DF16" s="308"/>
      <c r="DG16" s="308"/>
      <c r="DH16" s="308"/>
      <c r="DI16" s="308"/>
      <c r="DJ16" s="308"/>
      <c r="DK16" s="308"/>
      <c r="DL16" s="308"/>
      <c r="DM16" s="308"/>
      <c r="DN16" s="308"/>
      <c r="DO16" s="308"/>
      <c r="DP16" s="308"/>
      <c r="DQ16" s="308"/>
      <c r="DR16" s="308"/>
      <c r="DS16" s="308"/>
      <c r="DT16" s="308"/>
      <c r="DU16" s="308"/>
      <c r="DV16" s="308"/>
      <c r="DW16" s="308"/>
      <c r="DX16" s="308"/>
      <c r="DY16" s="308"/>
      <c r="DZ16" s="308"/>
      <c r="EA16" s="308"/>
      <c r="EB16" s="308"/>
      <c r="EC16" s="308"/>
      <c r="ED16" s="308"/>
      <c r="EE16" s="308"/>
      <c r="EF16" s="308"/>
      <c r="EG16" s="308"/>
      <c r="EH16" s="308"/>
      <c r="EI16" s="308"/>
      <c r="EJ16" s="308"/>
      <c r="EK16" s="308"/>
      <c r="EL16" s="308"/>
      <c r="EM16" s="308"/>
      <c r="EN16" s="308"/>
      <c r="EO16" s="308"/>
      <c r="EP16" s="308"/>
      <c r="EQ16" s="308"/>
      <c r="ER16" s="308"/>
      <c r="ES16" s="308"/>
      <c r="ET16" s="308"/>
      <c r="EU16" s="308"/>
      <c r="EV16" s="308"/>
      <c r="EW16" s="308"/>
      <c r="EX16" s="308"/>
      <c r="EY16" s="308"/>
      <c r="EZ16" s="308"/>
      <c r="FA16" s="308"/>
    </row>
    <row r="17" spans="1:157" ht="30" customHeight="1">
      <c r="A17" s="333" t="s">
        <v>1057</v>
      </c>
      <c r="B17" s="493">
        <f>IF(SH!I39=1,'ER1'!N8,'ER2'!P27)</f>
        <v>2821.1538299086405</v>
      </c>
      <c r="C17" s="167" t="s">
        <v>396</v>
      </c>
      <c r="D17" s="468" t="s">
        <v>2</v>
      </c>
      <c r="E17" s="168"/>
      <c r="F17" s="168"/>
      <c r="H17" s="329"/>
      <c r="I17" s="334"/>
      <c r="J17" s="311"/>
      <c r="K17" s="303"/>
      <c r="L17" s="303"/>
      <c r="M17" s="303"/>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08"/>
      <c r="AN17" s="308"/>
      <c r="AO17" s="308"/>
      <c r="AP17" s="308"/>
      <c r="AQ17" s="308"/>
      <c r="AR17" s="308"/>
      <c r="AS17" s="308"/>
      <c r="AT17" s="308"/>
      <c r="AU17" s="308"/>
      <c r="AV17" s="308"/>
      <c r="AW17" s="308"/>
      <c r="AX17" s="308"/>
      <c r="AY17" s="308"/>
      <c r="AZ17" s="308"/>
      <c r="BA17" s="308"/>
      <c r="BB17" s="308"/>
      <c r="BC17" s="308"/>
      <c r="BD17" s="308"/>
      <c r="BE17" s="308"/>
      <c r="BF17" s="308"/>
      <c r="BG17" s="308"/>
      <c r="BH17" s="308"/>
      <c r="BI17" s="308"/>
      <c r="BJ17" s="308"/>
      <c r="BK17" s="308"/>
      <c r="BL17" s="308"/>
      <c r="BM17" s="308"/>
      <c r="BN17" s="308"/>
      <c r="BO17" s="308"/>
      <c r="BP17" s="308"/>
      <c r="BQ17" s="308"/>
      <c r="BR17" s="308"/>
      <c r="BS17" s="308"/>
      <c r="BT17" s="308"/>
      <c r="BU17" s="308"/>
      <c r="BV17" s="308"/>
      <c r="BW17" s="308"/>
      <c r="BX17" s="308"/>
      <c r="BY17" s="308"/>
      <c r="BZ17" s="308"/>
      <c r="CA17" s="308"/>
      <c r="CB17" s="308"/>
      <c r="CC17" s="308"/>
      <c r="CD17" s="308"/>
      <c r="CE17" s="308"/>
      <c r="CF17" s="308"/>
      <c r="CG17" s="308"/>
      <c r="CH17" s="308"/>
      <c r="CI17" s="308"/>
      <c r="CJ17" s="308"/>
      <c r="CK17" s="308"/>
      <c r="CL17" s="308"/>
      <c r="CM17" s="308"/>
      <c r="CN17" s="308"/>
      <c r="CO17" s="308"/>
      <c r="CP17" s="308"/>
      <c r="CQ17" s="308"/>
      <c r="CR17" s="308"/>
      <c r="CS17" s="308"/>
      <c r="CT17" s="308"/>
      <c r="CU17" s="308"/>
      <c r="CV17" s="308"/>
      <c r="CW17" s="308"/>
      <c r="CX17" s="308"/>
      <c r="CY17" s="308"/>
      <c r="CZ17" s="308"/>
      <c r="DA17" s="308"/>
      <c r="DB17" s="308"/>
      <c r="DC17" s="308"/>
      <c r="DD17" s="308"/>
      <c r="DE17" s="308"/>
      <c r="DF17" s="308"/>
      <c r="DG17" s="308"/>
      <c r="DH17" s="308"/>
      <c r="DI17" s="308"/>
      <c r="DJ17" s="308"/>
      <c r="DK17" s="308"/>
      <c r="DL17" s="308"/>
      <c r="DM17" s="308"/>
      <c r="DN17" s="308"/>
      <c r="DO17" s="308"/>
      <c r="DP17" s="308"/>
      <c r="DQ17" s="308"/>
      <c r="DR17" s="308"/>
      <c r="DS17" s="308"/>
      <c r="DT17" s="308"/>
      <c r="DU17" s="308"/>
      <c r="DV17" s="308"/>
      <c r="DW17" s="308"/>
      <c r="DX17" s="308"/>
      <c r="DY17" s="308"/>
      <c r="DZ17" s="308"/>
      <c r="EA17" s="308"/>
      <c r="EB17" s="308"/>
      <c r="EC17" s="308"/>
      <c r="ED17" s="308"/>
      <c r="EE17" s="308"/>
      <c r="EF17" s="308"/>
      <c r="EG17" s="308"/>
      <c r="EH17" s="308"/>
      <c r="EI17" s="308"/>
      <c r="EJ17" s="308"/>
      <c r="EK17" s="308"/>
      <c r="EL17" s="308"/>
      <c r="EM17" s="308"/>
      <c r="EN17" s="308"/>
      <c r="EO17" s="308"/>
      <c r="EP17" s="308"/>
      <c r="EQ17" s="308"/>
      <c r="ER17" s="308"/>
      <c r="ES17" s="308"/>
      <c r="ET17" s="308"/>
      <c r="EU17" s="308"/>
      <c r="EV17" s="308"/>
      <c r="EW17" s="308"/>
      <c r="EX17" s="308"/>
      <c r="EY17" s="308"/>
      <c r="EZ17" s="308"/>
      <c r="FA17" s="308"/>
    </row>
    <row r="18" spans="1:157" ht="30" customHeight="1">
      <c r="A18" s="336" t="s">
        <v>1058</v>
      </c>
      <c r="B18" s="337">
        <v>-3</v>
      </c>
      <c r="C18" s="327" t="s">
        <v>1054</v>
      </c>
      <c r="D18" s="856" t="s">
        <v>1059</v>
      </c>
      <c r="E18" s="856"/>
      <c r="F18" s="856"/>
      <c r="G18" s="326"/>
      <c r="H18" s="329"/>
      <c r="I18" s="330"/>
      <c r="J18" s="311"/>
      <c r="K18" s="303"/>
      <c r="L18" s="303"/>
      <c r="M18" s="303"/>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L18" s="308"/>
      <c r="AM18" s="308"/>
      <c r="AN18" s="308"/>
      <c r="AO18" s="308"/>
      <c r="AP18" s="308"/>
      <c r="AQ18" s="308"/>
      <c r="AR18" s="308"/>
      <c r="AS18" s="308"/>
      <c r="AT18" s="308"/>
      <c r="AU18" s="308"/>
      <c r="AV18" s="308"/>
      <c r="AW18" s="308"/>
      <c r="AX18" s="308"/>
      <c r="AY18" s="308"/>
      <c r="AZ18" s="308"/>
      <c r="BA18" s="308"/>
      <c r="BB18" s="308"/>
      <c r="BC18" s="308"/>
      <c r="BD18" s="308"/>
      <c r="BE18" s="308"/>
      <c r="BF18" s="308"/>
      <c r="BG18" s="308"/>
      <c r="BH18" s="308"/>
      <c r="BI18" s="308"/>
      <c r="BJ18" s="308"/>
      <c r="BK18" s="308"/>
      <c r="BL18" s="308"/>
      <c r="BM18" s="308"/>
      <c r="BN18" s="308"/>
      <c r="BO18" s="308"/>
      <c r="BP18" s="308"/>
      <c r="BQ18" s="308"/>
      <c r="BR18" s="308"/>
      <c r="BS18" s="308"/>
      <c r="BT18" s="308"/>
      <c r="BU18" s="308"/>
      <c r="BV18" s="308"/>
      <c r="BW18" s="308"/>
      <c r="BX18" s="308"/>
      <c r="BY18" s="308"/>
      <c r="BZ18" s="308"/>
      <c r="CA18" s="308"/>
      <c r="CB18" s="308"/>
      <c r="CC18" s="308"/>
      <c r="CD18" s="308"/>
      <c r="CE18" s="308"/>
      <c r="CF18" s="308"/>
      <c r="CG18" s="308"/>
      <c r="CH18" s="308"/>
      <c r="CI18" s="308"/>
      <c r="CJ18" s="308"/>
      <c r="CK18" s="308"/>
      <c r="CL18" s="308"/>
      <c r="CM18" s="308"/>
      <c r="CN18" s="308"/>
      <c r="CO18" s="308"/>
      <c r="CP18" s="308"/>
      <c r="CQ18" s="308"/>
      <c r="CR18" s="308"/>
      <c r="CS18" s="308"/>
      <c r="CT18" s="308"/>
      <c r="CU18" s="308"/>
      <c r="CV18" s="308"/>
      <c r="CW18" s="308"/>
      <c r="CX18" s="308"/>
      <c r="CY18" s="308"/>
      <c r="CZ18" s="308"/>
      <c r="DA18" s="308"/>
      <c r="DB18" s="308"/>
      <c r="DC18" s="308"/>
      <c r="DD18" s="308"/>
      <c r="DE18" s="308"/>
      <c r="DF18" s="308"/>
      <c r="DG18" s="308"/>
      <c r="DH18" s="308"/>
      <c r="DI18" s="308"/>
      <c r="DJ18" s="308"/>
      <c r="DK18" s="308"/>
      <c r="DL18" s="308"/>
      <c r="DM18" s="308"/>
      <c r="DN18" s="308"/>
      <c r="DO18" s="308"/>
      <c r="DP18" s="308"/>
      <c r="DQ18" s="308"/>
      <c r="DR18" s="308"/>
      <c r="DS18" s="308"/>
      <c r="DT18" s="308"/>
      <c r="DU18" s="308"/>
      <c r="DV18" s="308"/>
      <c r="DW18" s="308"/>
      <c r="DX18" s="308"/>
      <c r="DY18" s="308"/>
      <c r="DZ18" s="308"/>
      <c r="EA18" s="308"/>
      <c r="EB18" s="308"/>
      <c r="EC18" s="308"/>
      <c r="ED18" s="308"/>
      <c r="EE18" s="308"/>
      <c r="EF18" s="308"/>
      <c r="EG18" s="308"/>
      <c r="EH18" s="308"/>
      <c r="EI18" s="308"/>
      <c r="EJ18" s="308"/>
      <c r="EK18" s="308"/>
      <c r="EL18" s="308"/>
      <c r="EM18" s="308"/>
      <c r="EN18" s="308"/>
      <c r="EO18" s="308"/>
      <c r="EP18" s="308"/>
      <c r="EQ18" s="308"/>
      <c r="ER18" s="308"/>
      <c r="ES18" s="308"/>
      <c r="ET18" s="308"/>
      <c r="EU18" s="308"/>
      <c r="EV18" s="308"/>
      <c r="EW18" s="308"/>
      <c r="EX18" s="308"/>
      <c r="EY18" s="308"/>
      <c r="EZ18" s="308"/>
      <c r="FA18" s="308"/>
    </row>
    <row r="19" spans="1:157" ht="30" customHeight="1">
      <c r="A19" s="336" t="s">
        <v>1060</v>
      </c>
      <c r="B19" s="494">
        <f>HtUse!G6</f>
        <v>18.75</v>
      </c>
      <c r="C19" s="327" t="s">
        <v>1054</v>
      </c>
      <c r="D19" s="856" t="s">
        <v>1061</v>
      </c>
      <c r="E19" s="856"/>
      <c r="F19" s="856"/>
      <c r="H19" s="329"/>
      <c r="I19" s="330"/>
      <c r="J19" s="311"/>
      <c r="K19" s="303"/>
      <c r="L19" s="303"/>
      <c r="M19" s="303"/>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L19" s="308"/>
      <c r="AM19" s="308"/>
      <c r="AN19" s="308"/>
      <c r="AO19" s="308"/>
      <c r="AP19" s="308"/>
      <c r="AQ19" s="308"/>
      <c r="AR19" s="308"/>
      <c r="AS19" s="308"/>
      <c r="AT19" s="308"/>
      <c r="AU19" s="308"/>
      <c r="AV19" s="308"/>
      <c r="AW19" s="308"/>
      <c r="AX19" s="308"/>
      <c r="AY19" s="308"/>
      <c r="AZ19" s="308"/>
      <c r="BA19" s="308"/>
      <c r="BB19" s="308"/>
      <c r="BC19" s="308"/>
      <c r="BD19" s="308"/>
      <c r="BE19" s="308"/>
      <c r="BF19" s="308"/>
      <c r="BG19" s="308"/>
      <c r="BH19" s="308"/>
      <c r="BI19" s="308"/>
      <c r="BJ19" s="308"/>
      <c r="BK19" s="308"/>
      <c r="BL19" s="308"/>
      <c r="BM19" s="308"/>
      <c r="BN19" s="308"/>
      <c r="BO19" s="308"/>
      <c r="BP19" s="308"/>
      <c r="BQ19" s="308"/>
      <c r="BR19" s="308"/>
      <c r="BS19" s="308"/>
      <c r="BT19" s="308"/>
      <c r="BU19" s="308"/>
      <c r="BV19" s="308"/>
      <c r="BW19" s="308"/>
      <c r="BX19" s="308"/>
      <c r="BY19" s="308"/>
      <c r="BZ19" s="308"/>
      <c r="CA19" s="308"/>
      <c r="CB19" s="308"/>
      <c r="CC19" s="308"/>
      <c r="CD19" s="308"/>
      <c r="CE19" s="308"/>
      <c r="CF19" s="308"/>
      <c r="CG19" s="308"/>
      <c r="CH19" s="308"/>
      <c r="CI19" s="308"/>
      <c r="CJ19" s="308"/>
      <c r="CK19" s="308"/>
      <c r="CL19" s="308"/>
      <c r="CM19" s="308"/>
      <c r="CN19" s="308"/>
      <c r="CO19" s="308"/>
      <c r="CP19" s="308"/>
      <c r="CQ19" s="308"/>
      <c r="CR19" s="308"/>
      <c r="CS19" s="308"/>
      <c r="CT19" s="308"/>
      <c r="CU19" s="308"/>
      <c r="CV19" s="308"/>
      <c r="CW19" s="308"/>
      <c r="CX19" s="308"/>
      <c r="CY19" s="308"/>
      <c r="CZ19" s="308"/>
      <c r="DA19" s="308"/>
      <c r="DB19" s="308"/>
      <c r="DC19" s="308"/>
      <c r="DD19" s="308"/>
      <c r="DE19" s="308"/>
      <c r="DF19" s="308"/>
      <c r="DG19" s="308"/>
      <c r="DH19" s="308"/>
      <c r="DI19" s="308"/>
      <c r="DJ19" s="308"/>
      <c r="DK19" s="308"/>
      <c r="DL19" s="308"/>
      <c r="DM19" s="308"/>
      <c r="DN19" s="308"/>
      <c r="DO19" s="308"/>
      <c r="DP19" s="308"/>
      <c r="DQ19" s="308"/>
      <c r="DR19" s="308"/>
      <c r="DS19" s="308"/>
      <c r="DT19" s="308"/>
      <c r="DU19" s="308"/>
      <c r="DV19" s="308"/>
      <c r="DW19" s="308"/>
      <c r="DX19" s="308"/>
      <c r="DY19" s="308"/>
      <c r="DZ19" s="308"/>
      <c r="EA19" s="308"/>
      <c r="EB19" s="308"/>
      <c r="EC19" s="308"/>
      <c r="ED19" s="308"/>
      <c r="EE19" s="308"/>
      <c r="EF19" s="308"/>
      <c r="EG19" s="308"/>
      <c r="EH19" s="308"/>
      <c r="EI19" s="308"/>
      <c r="EJ19" s="308"/>
      <c r="EK19" s="308"/>
      <c r="EL19" s="308"/>
      <c r="EM19" s="308"/>
      <c r="EN19" s="308"/>
      <c r="EO19" s="308"/>
      <c r="EP19" s="308"/>
      <c r="EQ19" s="308"/>
      <c r="ER19" s="308"/>
      <c r="ES19" s="308"/>
      <c r="ET19" s="308"/>
      <c r="EU19" s="308"/>
      <c r="EV19" s="308"/>
      <c r="EW19" s="308"/>
      <c r="EX19" s="308"/>
      <c r="EY19" s="308"/>
      <c r="EZ19" s="308"/>
      <c r="FA19" s="308"/>
    </row>
    <row r="20" spans="1:157" ht="30" customHeight="1">
      <c r="A20" s="333" t="s">
        <v>1062</v>
      </c>
      <c r="B20" s="336" t="s">
        <v>1063</v>
      </c>
      <c r="D20" s="167"/>
      <c r="E20" s="167"/>
      <c r="F20" s="167"/>
      <c r="H20" s="329"/>
      <c r="I20" s="330"/>
      <c r="J20" s="311"/>
      <c r="K20" s="303"/>
      <c r="L20" s="303"/>
      <c r="M20" s="303"/>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L20" s="308"/>
      <c r="AM20" s="308"/>
      <c r="AN20" s="308"/>
      <c r="AO20" s="308"/>
      <c r="AP20" s="308"/>
      <c r="AQ20" s="308"/>
      <c r="AR20" s="308"/>
      <c r="AS20" s="308"/>
      <c r="AT20" s="308"/>
      <c r="AU20" s="308"/>
      <c r="AV20" s="308"/>
      <c r="AW20" s="308"/>
      <c r="AX20" s="308"/>
      <c r="AY20" s="308"/>
      <c r="AZ20" s="308"/>
      <c r="BA20" s="308"/>
      <c r="BB20" s="308"/>
      <c r="BC20" s="308"/>
      <c r="BD20" s="308"/>
      <c r="BE20" s="308"/>
      <c r="BF20" s="308"/>
      <c r="BG20" s="308"/>
      <c r="BH20" s="308"/>
      <c r="BI20" s="308"/>
      <c r="BJ20" s="308"/>
      <c r="BK20" s="308"/>
      <c r="BL20" s="308"/>
      <c r="BM20" s="308"/>
      <c r="BN20" s="308"/>
      <c r="BO20" s="308"/>
      <c r="BP20" s="308"/>
      <c r="BQ20" s="308"/>
      <c r="BR20" s="308"/>
      <c r="BS20" s="308"/>
      <c r="BT20" s="308"/>
      <c r="BU20" s="308"/>
      <c r="BV20" s="308"/>
      <c r="BW20" s="308"/>
      <c r="BX20" s="308"/>
      <c r="BY20" s="308"/>
      <c r="BZ20" s="308"/>
      <c r="CA20" s="308"/>
      <c r="CB20" s="308"/>
      <c r="CC20" s="308"/>
      <c r="CD20" s="308"/>
      <c r="CE20" s="308"/>
      <c r="CF20" s="308"/>
      <c r="CG20" s="308"/>
      <c r="CH20" s="308"/>
      <c r="CI20" s="308"/>
      <c r="CJ20" s="308"/>
      <c r="CK20" s="308"/>
      <c r="CL20" s="308"/>
      <c r="CM20" s="308"/>
      <c r="CN20" s="308"/>
      <c r="CO20" s="308"/>
      <c r="CP20" s="308"/>
      <c r="CQ20" s="308"/>
      <c r="CR20" s="308"/>
      <c r="CS20" s="308"/>
      <c r="CT20" s="308"/>
      <c r="CU20" s="308"/>
      <c r="CV20" s="308"/>
      <c r="CW20" s="308"/>
      <c r="CX20" s="308"/>
      <c r="CY20" s="308"/>
      <c r="CZ20" s="308"/>
      <c r="DA20" s="308"/>
      <c r="DB20" s="308"/>
      <c r="DC20" s="308"/>
      <c r="DD20" s="308"/>
      <c r="DE20" s="308"/>
      <c r="DF20" s="308"/>
      <c r="DG20" s="308"/>
      <c r="DH20" s="308"/>
      <c r="DI20" s="308"/>
      <c r="DJ20" s="308"/>
      <c r="DK20" s="308"/>
      <c r="DL20" s="308"/>
      <c r="DM20" s="308"/>
      <c r="DN20" s="308"/>
      <c r="DO20" s="308"/>
      <c r="DP20" s="308"/>
      <c r="DQ20" s="308"/>
      <c r="DR20" s="308"/>
      <c r="DS20" s="308"/>
      <c r="DT20" s="308"/>
      <c r="DU20" s="308"/>
      <c r="DV20" s="308"/>
      <c r="DW20" s="308"/>
      <c r="DX20" s="308"/>
      <c r="DY20" s="308"/>
      <c r="DZ20" s="308"/>
      <c r="EA20" s="308"/>
      <c r="EB20" s="308"/>
      <c r="EC20" s="308"/>
      <c r="ED20" s="308"/>
      <c r="EE20" s="308"/>
      <c r="EF20" s="308"/>
      <c r="EG20" s="308"/>
      <c r="EH20" s="308"/>
      <c r="EI20" s="308"/>
      <c r="EJ20" s="308"/>
      <c r="EK20" s="308"/>
      <c r="EL20" s="308"/>
      <c r="EM20" s="308"/>
      <c r="EN20" s="308"/>
      <c r="EO20" s="308"/>
      <c r="EP20" s="308"/>
      <c r="EQ20" s="308"/>
      <c r="ER20" s="308"/>
      <c r="ES20" s="308"/>
      <c r="ET20" s="308"/>
      <c r="EU20" s="308"/>
      <c r="EV20" s="308"/>
      <c r="EW20" s="308"/>
      <c r="EX20" s="308"/>
      <c r="EY20" s="308"/>
      <c r="EZ20" s="308"/>
      <c r="FA20" s="308"/>
    </row>
    <row r="21" spans="1:157" ht="30" customHeight="1">
      <c r="A21" s="333" t="s">
        <v>1064</v>
      </c>
      <c r="B21" s="313" t="s">
        <v>98</v>
      </c>
      <c r="H21" s="329"/>
      <c r="I21" s="330"/>
      <c r="J21" s="311"/>
      <c r="K21" s="303"/>
      <c r="L21" s="303"/>
      <c r="M21" s="303"/>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8"/>
      <c r="AM21" s="308"/>
      <c r="AN21" s="308"/>
      <c r="AO21" s="308"/>
      <c r="AP21" s="308"/>
      <c r="AQ21" s="308"/>
      <c r="AR21" s="308"/>
      <c r="AS21" s="308"/>
      <c r="AT21" s="308"/>
      <c r="AU21" s="308"/>
      <c r="AV21" s="308"/>
      <c r="AW21" s="308"/>
      <c r="AX21" s="308"/>
      <c r="AY21" s="308"/>
      <c r="AZ21" s="308"/>
      <c r="BA21" s="308"/>
      <c r="BB21" s="308"/>
      <c r="BC21" s="308"/>
      <c r="BD21" s="308"/>
      <c r="BE21" s="308"/>
      <c r="BF21" s="308"/>
      <c r="BG21" s="308"/>
      <c r="BH21" s="308"/>
      <c r="BI21" s="308"/>
      <c r="BJ21" s="308"/>
      <c r="BK21" s="308"/>
      <c r="BL21" s="308"/>
      <c r="BM21" s="308"/>
      <c r="BN21" s="308"/>
      <c r="BO21" s="308"/>
      <c r="BP21" s="308"/>
      <c r="BQ21" s="308"/>
      <c r="BR21" s="308"/>
      <c r="BS21" s="308"/>
      <c r="BT21" s="308"/>
      <c r="BU21" s="308"/>
      <c r="BV21" s="308"/>
      <c r="BW21" s="308"/>
      <c r="BX21" s="308"/>
      <c r="BY21" s="308"/>
      <c r="BZ21" s="308"/>
      <c r="CA21" s="308"/>
      <c r="CB21" s="308"/>
      <c r="CC21" s="308"/>
      <c r="CD21" s="308"/>
      <c r="CE21" s="308"/>
      <c r="CF21" s="308"/>
      <c r="CG21" s="308"/>
      <c r="CH21" s="308"/>
      <c r="CI21" s="308"/>
      <c r="CJ21" s="308"/>
      <c r="CK21" s="308"/>
      <c r="CL21" s="308"/>
      <c r="CM21" s="308"/>
      <c r="CN21" s="308"/>
      <c r="CO21" s="308"/>
      <c r="CP21" s="308"/>
      <c r="CQ21" s="308"/>
      <c r="CR21" s="308"/>
      <c r="CS21" s="308"/>
      <c r="CT21" s="308"/>
      <c r="CU21" s="308"/>
      <c r="CV21" s="308"/>
      <c r="CW21" s="308"/>
      <c r="CX21" s="308"/>
      <c r="CY21" s="308"/>
      <c r="CZ21" s="308"/>
      <c r="DA21" s="308"/>
      <c r="DB21" s="308"/>
      <c r="DC21" s="308"/>
      <c r="DD21" s="308"/>
      <c r="DE21" s="308"/>
      <c r="DF21" s="308"/>
      <c r="DG21" s="308"/>
      <c r="DH21" s="308"/>
      <c r="DI21" s="308"/>
      <c r="DJ21" s="308"/>
      <c r="DK21" s="308"/>
      <c r="DL21" s="308"/>
      <c r="DM21" s="308"/>
      <c r="DN21" s="308"/>
      <c r="DO21" s="308"/>
      <c r="DP21" s="308"/>
      <c r="DQ21" s="308"/>
      <c r="DR21" s="308"/>
      <c r="DS21" s="308"/>
      <c r="DT21" s="308"/>
      <c r="DU21" s="308"/>
      <c r="DV21" s="308"/>
      <c r="DW21" s="308"/>
      <c r="DX21" s="308"/>
      <c r="DY21" s="308"/>
      <c r="DZ21" s="308"/>
      <c r="EA21" s="308"/>
      <c r="EB21" s="308"/>
      <c r="EC21" s="308"/>
      <c r="ED21" s="308"/>
      <c r="EE21" s="308"/>
      <c r="EF21" s="308"/>
      <c r="EG21" s="308"/>
      <c r="EH21" s="308"/>
      <c r="EI21" s="308"/>
      <c r="EJ21" s="308"/>
      <c r="EK21" s="308"/>
      <c r="EL21" s="308"/>
      <c r="EM21" s="308"/>
      <c r="EN21" s="308"/>
      <c r="EO21" s="308"/>
      <c r="EP21" s="308"/>
      <c r="EQ21" s="308"/>
      <c r="ER21" s="308"/>
      <c r="ES21" s="308"/>
      <c r="ET21" s="308"/>
      <c r="EU21" s="308"/>
      <c r="EV21" s="308"/>
      <c r="EW21" s="308"/>
      <c r="EX21" s="308"/>
      <c r="EY21" s="308"/>
      <c r="EZ21" s="308"/>
      <c r="FA21" s="308"/>
    </row>
    <row r="22" spans="1:157" ht="30" customHeight="1">
      <c r="A22" s="333" t="s">
        <v>1065</v>
      </c>
      <c r="B22" s="313" t="s">
        <v>99</v>
      </c>
      <c r="D22" s="861" t="s">
        <v>1066</v>
      </c>
      <c r="E22" s="861"/>
      <c r="F22" s="861"/>
      <c r="H22" s="329"/>
      <c r="I22" s="330"/>
      <c r="J22" s="311"/>
      <c r="K22" s="303"/>
      <c r="L22" s="303"/>
      <c r="M22" s="303"/>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8"/>
      <c r="AM22" s="308"/>
      <c r="AN22" s="308"/>
      <c r="AO22" s="308"/>
      <c r="AP22" s="308"/>
      <c r="AQ22" s="308"/>
      <c r="AR22" s="308"/>
      <c r="AS22" s="308"/>
      <c r="AT22" s="308"/>
      <c r="AU22" s="308"/>
      <c r="AV22" s="308"/>
      <c r="AW22" s="308"/>
      <c r="AX22" s="308"/>
      <c r="AY22" s="308"/>
      <c r="AZ22" s="308"/>
      <c r="BA22" s="308"/>
      <c r="BB22" s="308"/>
      <c r="BC22" s="308"/>
      <c r="BD22" s="308"/>
      <c r="BE22" s="308"/>
      <c r="BF22" s="308"/>
      <c r="BG22" s="308"/>
      <c r="BH22" s="308"/>
      <c r="BI22" s="308"/>
      <c r="BJ22" s="308"/>
      <c r="BK22" s="308"/>
      <c r="BL22" s="308"/>
      <c r="BM22" s="308"/>
      <c r="BN22" s="308"/>
      <c r="BO22" s="308"/>
      <c r="BP22" s="308"/>
      <c r="BQ22" s="308"/>
      <c r="BR22" s="308"/>
      <c r="BS22" s="308"/>
      <c r="BT22" s="308"/>
      <c r="BU22" s="308"/>
      <c r="BV22" s="308"/>
      <c r="BW22" s="308"/>
      <c r="BX22" s="308"/>
      <c r="BY22" s="308"/>
      <c r="BZ22" s="308"/>
      <c r="CA22" s="308"/>
      <c r="CB22" s="308"/>
      <c r="CC22" s="308"/>
      <c r="CD22" s="308"/>
      <c r="CE22" s="308"/>
      <c r="CF22" s="308"/>
      <c r="CG22" s="308"/>
      <c r="CH22" s="308"/>
      <c r="CI22" s="308"/>
      <c r="CJ22" s="308"/>
      <c r="CK22" s="308"/>
      <c r="CL22" s="308"/>
      <c r="CM22" s="308"/>
      <c r="CN22" s="308"/>
      <c r="CO22" s="308"/>
      <c r="CP22" s="308"/>
      <c r="CQ22" s="308"/>
      <c r="CR22" s="308"/>
      <c r="CS22" s="308"/>
      <c r="CT22" s="308"/>
      <c r="CU22" s="308"/>
      <c r="CV22" s="308"/>
      <c r="CW22" s="308"/>
      <c r="CX22" s="308"/>
      <c r="CY22" s="308"/>
      <c r="CZ22" s="308"/>
      <c r="DA22" s="308"/>
      <c r="DB22" s="308"/>
      <c r="DC22" s="308"/>
      <c r="DD22" s="308"/>
      <c r="DE22" s="308"/>
      <c r="DF22" s="308"/>
      <c r="DG22" s="308"/>
      <c r="DH22" s="308"/>
      <c r="DI22" s="308"/>
      <c r="DJ22" s="308"/>
      <c r="DK22" s="308"/>
      <c r="DL22" s="308"/>
      <c r="DM22" s="308"/>
      <c r="DN22" s="308"/>
      <c r="DO22" s="308"/>
      <c r="DP22" s="308"/>
      <c r="DQ22" s="308"/>
      <c r="DR22" s="308"/>
      <c r="DS22" s="308"/>
      <c r="DT22" s="308"/>
      <c r="DU22" s="308"/>
      <c r="DV22" s="308"/>
      <c r="DW22" s="308"/>
      <c r="DX22" s="308"/>
      <c r="DY22" s="308"/>
      <c r="DZ22" s="308"/>
      <c r="EA22" s="308"/>
      <c r="EB22" s="308"/>
      <c r="EC22" s="308"/>
      <c r="ED22" s="308"/>
      <c r="EE22" s="308"/>
      <c r="EF22" s="308"/>
      <c r="EG22" s="308"/>
      <c r="EH22" s="308"/>
      <c r="EI22" s="308"/>
      <c r="EJ22" s="308"/>
      <c r="EK22" s="308"/>
      <c r="EL22" s="308"/>
      <c r="EM22" s="308"/>
      <c r="EN22" s="308"/>
      <c r="EO22" s="308"/>
      <c r="EP22" s="308"/>
      <c r="EQ22" s="308"/>
      <c r="ER22" s="308"/>
      <c r="ES22" s="308"/>
      <c r="ET22" s="308"/>
      <c r="EU22" s="308"/>
      <c r="EV22" s="308"/>
      <c r="EW22" s="308"/>
      <c r="EX22" s="308"/>
      <c r="EY22" s="308"/>
      <c r="EZ22" s="308"/>
      <c r="FA22" s="308"/>
    </row>
    <row r="23" spans="1:157" ht="33" customHeight="1">
      <c r="A23" s="333" t="s">
        <v>1067</v>
      </c>
      <c r="B23" s="313" t="s">
        <v>99</v>
      </c>
      <c r="D23" s="339">
        <f>IF(B24="Yes",35,IF(B21="Yes",55,IF(B22="Yes",45,35)))</f>
        <v>55</v>
      </c>
      <c r="E23" s="327" t="s">
        <v>1054</v>
      </c>
      <c r="F23" s="477" t="s">
        <v>1068</v>
      </c>
      <c r="H23" s="329"/>
      <c r="I23" s="330"/>
      <c r="J23" s="314"/>
      <c r="K23" s="303"/>
      <c r="L23" s="303"/>
      <c r="M23" s="303"/>
      <c r="N23" s="308"/>
      <c r="O23" s="308"/>
      <c r="P23" s="308"/>
      <c r="Q23" s="308"/>
      <c r="R23" s="308"/>
      <c r="S23" s="308"/>
      <c r="T23" s="308"/>
      <c r="U23" s="308"/>
      <c r="V23" s="308"/>
      <c r="W23" s="308"/>
      <c r="X23" s="308"/>
      <c r="Y23" s="308"/>
      <c r="Z23" s="308"/>
      <c r="AA23" s="308"/>
      <c r="AB23" s="308"/>
      <c r="AC23" s="308"/>
      <c r="AD23" s="308"/>
      <c r="AE23" s="308"/>
      <c r="AF23" s="308"/>
      <c r="AG23" s="308"/>
      <c r="AH23" s="308"/>
      <c r="AI23" s="308"/>
      <c r="AJ23" s="308"/>
      <c r="AK23" s="308"/>
      <c r="AL23" s="308"/>
      <c r="AM23" s="308"/>
      <c r="AN23" s="308"/>
      <c r="AO23" s="308"/>
      <c r="AP23" s="308"/>
      <c r="AQ23" s="308"/>
      <c r="AR23" s="308"/>
      <c r="AS23" s="308"/>
      <c r="AT23" s="308"/>
      <c r="AU23" s="308"/>
      <c r="AV23" s="308"/>
      <c r="AW23" s="308"/>
      <c r="AX23" s="308"/>
      <c r="AY23" s="308"/>
      <c r="AZ23" s="308"/>
      <c r="BA23" s="308"/>
      <c r="BB23" s="308"/>
      <c r="BC23" s="308"/>
      <c r="BD23" s="308"/>
      <c r="BE23" s="308"/>
      <c r="BF23" s="308"/>
      <c r="BG23" s="308"/>
      <c r="BH23" s="308"/>
      <c r="BI23" s="308"/>
      <c r="BJ23" s="308"/>
      <c r="BK23" s="308"/>
      <c r="BL23" s="308"/>
      <c r="BM23" s="308"/>
      <c r="BN23" s="308"/>
      <c r="BO23" s="308"/>
      <c r="BP23" s="308"/>
      <c r="BQ23" s="308"/>
      <c r="BR23" s="308"/>
      <c r="BS23" s="308"/>
      <c r="BT23" s="308"/>
      <c r="BU23" s="308"/>
      <c r="BV23" s="308"/>
      <c r="BW23" s="308"/>
      <c r="BX23" s="308"/>
      <c r="BY23" s="308"/>
      <c r="BZ23" s="308"/>
      <c r="CA23" s="308"/>
      <c r="CB23" s="308"/>
      <c r="CC23" s="308"/>
      <c r="CD23" s="308"/>
      <c r="CE23" s="308"/>
      <c r="CF23" s="308"/>
      <c r="CG23" s="308"/>
      <c r="CH23" s="308"/>
      <c r="CI23" s="308"/>
      <c r="CJ23" s="308"/>
      <c r="CK23" s="308"/>
      <c r="CL23" s="308"/>
      <c r="CM23" s="308"/>
      <c r="CN23" s="308"/>
      <c r="CO23" s="308"/>
      <c r="CP23" s="308"/>
      <c r="CQ23" s="308"/>
      <c r="CR23" s="308"/>
      <c r="CS23" s="308"/>
      <c r="CT23" s="308"/>
      <c r="CU23" s="308"/>
      <c r="CV23" s="308"/>
      <c r="CW23" s="308"/>
      <c r="CX23" s="308"/>
      <c r="CY23" s="308"/>
      <c r="CZ23" s="308"/>
      <c r="DA23" s="308"/>
      <c r="DB23" s="308"/>
      <c r="DC23" s="308"/>
      <c r="DD23" s="308"/>
      <c r="DE23" s="308"/>
      <c r="DF23" s="308"/>
      <c r="DG23" s="308"/>
      <c r="DH23" s="308"/>
      <c r="DI23" s="308"/>
      <c r="DJ23" s="308"/>
      <c r="DK23" s="308"/>
      <c r="DL23" s="308"/>
      <c r="DM23" s="308"/>
      <c r="DN23" s="308"/>
      <c r="DO23" s="308"/>
      <c r="DP23" s="308"/>
      <c r="DQ23" s="308"/>
      <c r="DR23" s="308"/>
      <c r="DS23" s="308"/>
      <c r="DT23" s="308"/>
      <c r="DU23" s="308"/>
      <c r="DV23" s="308"/>
      <c r="DW23" s="308"/>
      <c r="DX23" s="308"/>
      <c r="DY23" s="308"/>
      <c r="DZ23" s="308"/>
      <c r="EA23" s="308"/>
      <c r="EB23" s="308"/>
      <c r="EC23" s="308"/>
      <c r="ED23" s="308"/>
      <c r="EE23" s="308"/>
      <c r="EF23" s="308"/>
      <c r="EG23" s="308"/>
      <c r="EH23" s="308"/>
      <c r="EI23" s="308"/>
      <c r="EJ23" s="308"/>
      <c r="EK23" s="308"/>
      <c r="EL23" s="308"/>
      <c r="EM23" s="308"/>
      <c r="EN23" s="308"/>
      <c r="EO23" s="308"/>
      <c r="EP23" s="308"/>
      <c r="EQ23" s="308"/>
      <c r="ER23" s="308"/>
      <c r="ES23" s="308"/>
      <c r="ET23" s="308"/>
      <c r="EU23" s="308"/>
      <c r="EV23" s="308"/>
      <c r="EW23" s="308"/>
      <c r="EX23" s="308"/>
      <c r="EY23" s="308"/>
      <c r="EZ23" s="308"/>
      <c r="FA23" s="308"/>
    </row>
    <row r="24" spans="1:157" ht="30" customHeight="1">
      <c r="A24" s="333" t="s">
        <v>1069</v>
      </c>
      <c r="B24" s="312" t="str">
        <f>IF(OR(B12="Water to Air",B12="Air to Air",B12="Brine to Air"),"Yes","No")</f>
        <v>No</v>
      </c>
      <c r="D24" s="868" t="str">
        <f>IF(B14="I.S. EN 14825",(IF(B25&gt;B16,"ERROR: Design Flow Temperature is greater than Heat Pumps Operating Limit, please correct","")),"")</f>
        <v/>
      </c>
      <c r="E24" s="869"/>
      <c r="F24" s="870"/>
      <c r="H24" s="329"/>
      <c r="I24" s="330"/>
      <c r="J24" s="311"/>
      <c r="K24" s="303"/>
      <c r="L24" s="303"/>
      <c r="M24" s="303"/>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8"/>
      <c r="AS24" s="308"/>
      <c r="AT24" s="308"/>
      <c r="AU24" s="308"/>
      <c r="AV24" s="308"/>
      <c r="AW24" s="308"/>
      <c r="AX24" s="308"/>
      <c r="AY24" s="308"/>
      <c r="AZ24" s="308"/>
      <c r="BA24" s="308"/>
      <c r="BB24" s="308"/>
      <c r="BC24" s="308"/>
      <c r="BD24" s="308"/>
      <c r="BE24" s="308"/>
      <c r="BF24" s="308"/>
      <c r="BG24" s="308"/>
      <c r="BH24" s="308"/>
      <c r="BI24" s="308"/>
      <c r="BJ24" s="308"/>
      <c r="BK24" s="308"/>
      <c r="BL24" s="308"/>
      <c r="BM24" s="308"/>
      <c r="BN24" s="308"/>
      <c r="BO24" s="308"/>
      <c r="BP24" s="308"/>
      <c r="BQ24" s="308"/>
      <c r="BR24" s="308"/>
      <c r="BS24" s="308"/>
      <c r="BT24" s="308"/>
      <c r="BU24" s="308"/>
      <c r="BV24" s="308"/>
      <c r="BW24" s="308"/>
      <c r="BX24" s="308"/>
      <c r="BY24" s="308"/>
      <c r="BZ24" s="308"/>
      <c r="CA24" s="308"/>
      <c r="CB24" s="308"/>
      <c r="CC24" s="308"/>
      <c r="CD24" s="308"/>
      <c r="CE24" s="308"/>
      <c r="CF24" s="308"/>
      <c r="CG24" s="308"/>
      <c r="CH24" s="308"/>
      <c r="CI24" s="308"/>
      <c r="CJ24" s="308"/>
      <c r="CK24" s="308"/>
      <c r="CL24" s="308"/>
      <c r="CM24" s="308"/>
      <c r="CN24" s="308"/>
      <c r="CO24" s="308"/>
      <c r="CP24" s="308"/>
      <c r="CQ24" s="308"/>
      <c r="CR24" s="308"/>
      <c r="CS24" s="308"/>
      <c r="CT24" s="308"/>
      <c r="CU24" s="308"/>
      <c r="CV24" s="308"/>
      <c r="CW24" s="308"/>
      <c r="CX24" s="308"/>
      <c r="CY24" s="308"/>
      <c r="CZ24" s="308"/>
      <c r="DA24" s="308"/>
      <c r="DB24" s="308"/>
      <c r="DC24" s="308"/>
      <c r="DD24" s="308"/>
      <c r="DE24" s="308"/>
      <c r="DF24" s="308"/>
      <c r="DG24" s="308"/>
      <c r="DH24" s="308"/>
      <c r="DI24" s="308"/>
      <c r="DJ24" s="308"/>
      <c r="DK24" s="308"/>
      <c r="DL24" s="308"/>
      <c r="DM24" s="308"/>
      <c r="DN24" s="308"/>
      <c r="DO24" s="308"/>
      <c r="DP24" s="308"/>
      <c r="DQ24" s="308"/>
      <c r="DR24" s="308"/>
      <c r="DS24" s="308"/>
      <c r="DT24" s="308"/>
      <c r="DU24" s="308"/>
      <c r="DV24" s="308"/>
      <c r="DW24" s="308"/>
      <c r="DX24" s="308"/>
      <c r="DY24" s="308"/>
      <c r="DZ24" s="308"/>
      <c r="EA24" s="308"/>
      <c r="EB24" s="308"/>
      <c r="EC24" s="308"/>
      <c r="ED24" s="308"/>
      <c r="EE24" s="308"/>
      <c r="EF24" s="308"/>
      <c r="EG24" s="308"/>
      <c r="EH24" s="308"/>
      <c r="EI24" s="308"/>
      <c r="EJ24" s="308"/>
      <c r="EK24" s="308"/>
      <c r="EL24" s="308"/>
      <c r="EM24" s="308"/>
      <c r="EN24" s="308"/>
      <c r="EO24" s="308"/>
      <c r="EP24" s="308"/>
      <c r="EQ24" s="308"/>
      <c r="ER24" s="308"/>
      <c r="ES24" s="308"/>
      <c r="ET24" s="308"/>
      <c r="EU24" s="308"/>
      <c r="EV24" s="308"/>
      <c r="EW24" s="308"/>
      <c r="EX24" s="308"/>
      <c r="EY24" s="308"/>
      <c r="EZ24" s="308"/>
      <c r="FA24" s="308"/>
    </row>
    <row r="25" spans="1:157" ht="30" customHeight="1">
      <c r="A25" s="340" t="s">
        <v>1070</v>
      </c>
      <c r="B25" s="338">
        <v>60</v>
      </c>
      <c r="C25" s="327" t="s">
        <v>1054</v>
      </c>
      <c r="D25" s="868" t="str">
        <f>(IF(B25&lt;D23,"WARNING: As Design Flow Temperature is less than Default, please ensure that documentary evidence is available to support it",""))</f>
        <v/>
      </c>
      <c r="E25" s="869"/>
      <c r="F25" s="870"/>
      <c r="H25" s="329"/>
      <c r="I25" s="330"/>
      <c r="J25" s="311"/>
      <c r="K25" s="303"/>
      <c r="L25" s="303"/>
      <c r="M25" s="303"/>
      <c r="N25" s="308"/>
      <c r="O25" s="308" t="s">
        <v>1071</v>
      </c>
      <c r="P25" s="308"/>
      <c r="Q25" s="308"/>
      <c r="R25" s="308"/>
      <c r="S25" s="308"/>
      <c r="T25" s="308"/>
      <c r="X25" s="308"/>
      <c r="Y25" s="308"/>
      <c r="Z25" s="308"/>
      <c r="AA25" s="308"/>
      <c r="AB25" s="308"/>
      <c r="AC25" s="308"/>
      <c r="AD25" s="308"/>
      <c r="AE25" s="308"/>
      <c r="AF25" s="308"/>
      <c r="AG25" s="308"/>
      <c r="AH25" s="308"/>
      <c r="AI25" s="308"/>
      <c r="AJ25" s="308"/>
      <c r="AK25" s="308"/>
      <c r="AL25" s="308"/>
      <c r="AM25" s="308"/>
      <c r="AN25" s="308"/>
      <c r="AO25" s="308"/>
      <c r="AP25" s="308"/>
      <c r="AQ25" s="308"/>
      <c r="AR25" s="308"/>
      <c r="AS25" s="308"/>
      <c r="AT25" s="308"/>
      <c r="AU25" s="308"/>
      <c r="AV25" s="308"/>
      <c r="AW25" s="308"/>
      <c r="AX25" s="308"/>
      <c r="AY25" s="308"/>
      <c r="AZ25" s="308"/>
      <c r="BA25" s="308"/>
      <c r="BB25" s="308"/>
      <c r="BC25" s="308"/>
      <c r="BD25" s="308"/>
      <c r="BE25" s="308"/>
      <c r="BF25" s="308"/>
      <c r="BG25" s="308"/>
      <c r="BH25" s="308"/>
      <c r="BI25" s="308"/>
      <c r="BJ25" s="308"/>
      <c r="BK25" s="308"/>
      <c r="BL25" s="308"/>
      <c r="BM25" s="308"/>
      <c r="BN25" s="308"/>
      <c r="BO25" s="308"/>
      <c r="BP25" s="308"/>
      <c r="BQ25" s="308"/>
      <c r="BR25" s="308"/>
      <c r="BS25" s="308"/>
      <c r="BT25" s="308"/>
      <c r="BU25" s="308"/>
      <c r="BV25" s="308"/>
      <c r="BW25" s="308"/>
      <c r="BX25" s="308"/>
      <c r="BY25" s="308"/>
      <c r="BZ25" s="308"/>
      <c r="CA25" s="308"/>
      <c r="CB25" s="308"/>
      <c r="CC25" s="308"/>
      <c r="CD25" s="308"/>
      <c r="CE25" s="308"/>
      <c r="CF25" s="308"/>
      <c r="CG25" s="308"/>
      <c r="CH25" s="308"/>
      <c r="CI25" s="308"/>
      <c r="CJ25" s="308"/>
      <c r="CK25" s="308"/>
      <c r="CL25" s="308"/>
      <c r="CM25" s="308"/>
      <c r="CN25" s="308"/>
      <c r="CO25" s="308"/>
      <c r="CP25" s="308"/>
      <c r="CQ25" s="308"/>
      <c r="CR25" s="308"/>
      <c r="CS25" s="308"/>
      <c r="CT25" s="308"/>
      <c r="CU25" s="308"/>
      <c r="CV25" s="308"/>
      <c r="CW25" s="308"/>
      <c r="CX25" s="308"/>
      <c r="CY25" s="308"/>
      <c r="CZ25" s="308"/>
      <c r="DA25" s="308"/>
      <c r="DB25" s="308"/>
      <c r="DC25" s="308"/>
      <c r="DD25" s="308"/>
      <c r="DE25" s="308"/>
      <c r="DF25" s="308"/>
      <c r="DG25" s="308"/>
      <c r="DH25" s="308"/>
      <c r="DI25" s="308"/>
      <c r="DJ25" s="308"/>
      <c r="DK25" s="308"/>
      <c r="DL25" s="308"/>
      <c r="DM25" s="308"/>
      <c r="DN25" s="308"/>
      <c r="DO25" s="308"/>
      <c r="DP25" s="308"/>
      <c r="DQ25" s="308"/>
      <c r="DR25" s="308"/>
      <c r="DS25" s="308"/>
      <c r="DT25" s="308"/>
      <c r="DU25" s="308"/>
      <c r="DV25" s="308"/>
      <c r="DW25" s="308"/>
      <c r="DX25" s="308"/>
      <c r="DY25" s="308"/>
      <c r="DZ25" s="308"/>
      <c r="EA25" s="308"/>
      <c r="EB25" s="308"/>
      <c r="EC25" s="308"/>
      <c r="ED25" s="308"/>
      <c r="EE25" s="308"/>
      <c r="EF25" s="308"/>
      <c r="EG25" s="308"/>
      <c r="EH25" s="308"/>
      <c r="EI25" s="308"/>
      <c r="EJ25" s="308"/>
      <c r="EK25" s="308"/>
      <c r="EL25" s="308"/>
      <c r="EM25" s="308"/>
      <c r="EN25" s="308"/>
      <c r="EO25" s="308"/>
      <c r="EP25" s="308"/>
      <c r="EQ25" s="308"/>
      <c r="ER25" s="308"/>
      <c r="ES25" s="308"/>
      <c r="ET25" s="308"/>
      <c r="EU25" s="308"/>
      <c r="EV25" s="308"/>
      <c r="EW25" s="308"/>
      <c r="EX25" s="308"/>
      <c r="EY25" s="308"/>
      <c r="EZ25" s="308"/>
      <c r="FA25" s="308"/>
    </row>
    <row r="26" spans="1:157" s="326" customFormat="1" ht="30" customHeight="1">
      <c r="A26" s="336" t="s">
        <v>1072</v>
      </c>
      <c r="B26" s="335">
        <f>IF(B24="Yes",1,1.2)</f>
        <v>1.2</v>
      </c>
      <c r="D26" s="871" t="s">
        <v>1073</v>
      </c>
      <c r="E26" s="871"/>
      <c r="F26" s="871"/>
      <c r="H26" s="329"/>
      <c r="I26" s="330"/>
      <c r="J26" s="311"/>
      <c r="K26" s="303"/>
      <c r="L26" s="303"/>
      <c r="M26" s="303"/>
      <c r="N26" s="167"/>
      <c r="O26" s="167"/>
      <c r="P26" s="167"/>
      <c r="Q26" s="167"/>
      <c r="R26" s="167"/>
      <c r="S26" s="167"/>
      <c r="T26" s="167"/>
      <c r="X26" s="167"/>
      <c r="Y26" s="167"/>
      <c r="Z26" s="167"/>
      <c r="AA26" s="167"/>
      <c r="AB26" s="167"/>
      <c r="AC26" s="167"/>
      <c r="AD26" s="167"/>
      <c r="AE26" s="167"/>
      <c r="AF26" s="167"/>
      <c r="AG26" s="167"/>
      <c r="AH26" s="167"/>
      <c r="AI26" s="167"/>
      <c r="AJ26" s="167"/>
      <c r="AK26" s="167"/>
      <c r="AL26" s="167"/>
      <c r="AM26" s="167"/>
      <c r="AN26" s="167"/>
      <c r="AO26" s="167"/>
      <c r="AP26" s="308"/>
      <c r="AQ26" s="308"/>
      <c r="AR26" s="308"/>
      <c r="AS26" s="308"/>
      <c r="AT26" s="308"/>
      <c r="AU26" s="308"/>
      <c r="AV26" s="308"/>
      <c r="AW26" s="308"/>
      <c r="AX26" s="308"/>
      <c r="AY26" s="308"/>
      <c r="AZ26" s="308"/>
      <c r="BA26" s="308"/>
      <c r="BB26" s="308"/>
      <c r="BC26" s="308"/>
      <c r="BD26" s="308"/>
      <c r="BE26" s="308"/>
      <c r="BF26" s="308"/>
      <c r="BG26" s="308"/>
      <c r="BH26" s="308"/>
      <c r="BI26" s="308"/>
      <c r="BJ26" s="308"/>
      <c r="BK26" s="308"/>
      <c r="BL26" s="308"/>
      <c r="BM26" s="308"/>
      <c r="BN26" s="308"/>
      <c r="BO26" s="308"/>
      <c r="BP26" s="308"/>
      <c r="BQ26" s="308"/>
      <c r="BR26" s="308"/>
      <c r="BS26" s="308"/>
      <c r="BT26" s="308"/>
      <c r="BU26" s="308"/>
      <c r="BV26" s="308"/>
      <c r="BW26" s="308"/>
      <c r="BX26" s="308"/>
      <c r="BY26" s="308"/>
      <c r="BZ26" s="308"/>
      <c r="CA26" s="308"/>
      <c r="CB26" s="308"/>
      <c r="CC26" s="308"/>
      <c r="CD26" s="308"/>
      <c r="CE26" s="308"/>
      <c r="CF26" s="308"/>
      <c r="CG26" s="308"/>
      <c r="CH26" s="308"/>
      <c r="CI26" s="308"/>
      <c r="CJ26" s="308"/>
      <c r="CK26" s="308"/>
      <c r="CL26" s="308"/>
      <c r="CM26" s="308"/>
      <c r="CN26" s="308"/>
      <c r="CO26" s="308"/>
      <c r="CP26" s="308"/>
      <c r="CQ26" s="308"/>
      <c r="CR26" s="308"/>
      <c r="CS26" s="308"/>
      <c r="CT26" s="308"/>
      <c r="CU26" s="308"/>
      <c r="CV26" s="308"/>
      <c r="CW26" s="308"/>
      <c r="CX26" s="308"/>
      <c r="CY26" s="308"/>
      <c r="CZ26" s="308"/>
      <c r="DA26" s="308"/>
      <c r="DB26" s="308"/>
      <c r="DC26" s="308"/>
      <c r="DD26" s="308"/>
      <c r="DE26" s="308"/>
      <c r="DF26" s="308"/>
      <c r="DG26" s="308"/>
      <c r="DH26" s="308"/>
      <c r="DI26" s="308"/>
      <c r="DJ26" s="308"/>
      <c r="DK26" s="308"/>
      <c r="DL26" s="308"/>
      <c r="DM26" s="308"/>
      <c r="DN26" s="308"/>
      <c r="DO26" s="308"/>
      <c r="DP26" s="308"/>
      <c r="DQ26" s="308"/>
      <c r="DR26" s="308"/>
      <c r="DS26" s="308"/>
      <c r="DT26" s="308"/>
      <c r="DU26" s="308"/>
      <c r="DV26" s="308"/>
      <c r="DW26" s="308"/>
      <c r="DX26" s="308"/>
      <c r="DY26" s="308"/>
      <c r="DZ26" s="308"/>
      <c r="EA26" s="308"/>
      <c r="EB26" s="308"/>
      <c r="EC26" s="308"/>
      <c r="ED26" s="308"/>
      <c r="EE26" s="308"/>
      <c r="EF26" s="308"/>
      <c r="EG26" s="308"/>
      <c r="EH26" s="308"/>
      <c r="EI26" s="308"/>
      <c r="EJ26" s="308"/>
      <c r="EK26" s="308"/>
      <c r="EL26" s="308"/>
      <c r="EM26" s="308"/>
      <c r="EN26" s="308"/>
      <c r="EO26" s="308"/>
      <c r="EP26" s="308"/>
      <c r="EQ26" s="308"/>
      <c r="ER26" s="308"/>
      <c r="ES26" s="308"/>
      <c r="ET26" s="308"/>
      <c r="EU26" s="308"/>
      <c r="EV26" s="308"/>
      <c r="EW26" s="308"/>
      <c r="EX26" s="308"/>
      <c r="EY26" s="308"/>
      <c r="EZ26" s="308"/>
      <c r="FA26" s="308"/>
    </row>
    <row r="27" spans="1:157" ht="30" customHeight="1">
      <c r="A27" s="336" t="s">
        <v>1074</v>
      </c>
      <c r="B27" s="335">
        <f>IF(B24="Yes",5,IF(B21="Yes",10,IF(B22="Yes",7.5,5)))</f>
        <v>10</v>
      </c>
      <c r="C27" s="327" t="s">
        <v>1054</v>
      </c>
      <c r="D27" s="872" t="s">
        <v>1073</v>
      </c>
      <c r="E27" s="872"/>
      <c r="F27" s="872"/>
      <c r="G27" s="326"/>
      <c r="H27" s="329"/>
      <c r="I27" s="330"/>
      <c r="J27" s="331"/>
      <c r="K27" s="330"/>
      <c r="L27" s="330"/>
      <c r="M27" s="330"/>
      <c r="N27" s="326"/>
      <c r="O27" s="326"/>
      <c r="P27" s="326"/>
      <c r="Q27" s="326"/>
      <c r="R27" s="326"/>
      <c r="S27" s="326"/>
      <c r="T27" s="326"/>
      <c r="X27" s="326"/>
      <c r="Y27" s="326"/>
      <c r="Z27" s="326"/>
      <c r="AA27" s="326"/>
      <c r="AB27" s="326"/>
      <c r="AC27" s="326"/>
      <c r="AD27" s="326"/>
      <c r="AE27" s="326"/>
      <c r="AF27" s="326"/>
      <c r="AG27" s="326"/>
      <c r="AH27" s="326"/>
      <c r="AI27" s="326"/>
      <c r="AJ27" s="326"/>
      <c r="AK27" s="326"/>
      <c r="AL27" s="326"/>
      <c r="AM27" s="326"/>
      <c r="AN27" s="326"/>
      <c r="AO27" s="326"/>
    </row>
    <row r="28" spans="1:157" s="326" customFormat="1" ht="30" customHeight="1">
      <c r="A28" s="336" t="s">
        <v>1075</v>
      </c>
      <c r="B28" s="335">
        <f>B25-B27</f>
        <v>50</v>
      </c>
      <c r="D28" s="168"/>
      <c r="E28" s="168"/>
      <c r="F28" s="168"/>
      <c r="H28" s="329"/>
      <c r="I28" s="330"/>
      <c r="J28" s="331"/>
      <c r="K28" s="330"/>
      <c r="L28" s="330"/>
      <c r="M28" s="330"/>
      <c r="U28" s="167"/>
      <c r="V28" s="167"/>
      <c r="W28" s="167"/>
    </row>
    <row r="29" spans="1:157" s="326" customFormat="1" ht="30" customHeight="1">
      <c r="A29" s="333" t="s">
        <v>1076</v>
      </c>
      <c r="B29" s="338">
        <v>24</v>
      </c>
      <c r="C29" s="167" t="s">
        <v>160</v>
      </c>
      <c r="D29" s="861" t="s">
        <v>1077</v>
      </c>
      <c r="E29" s="861"/>
      <c r="F29" s="861"/>
      <c r="G29" s="167"/>
      <c r="H29" s="329"/>
      <c r="I29" s="330"/>
      <c r="J29" s="331"/>
      <c r="K29" s="330"/>
      <c r="L29" s="330"/>
      <c r="M29" s="330"/>
      <c r="U29" s="167"/>
      <c r="V29" s="167"/>
      <c r="W29" s="167"/>
    </row>
    <row r="30" spans="1:157" s="326" customFormat="1" ht="30" customHeight="1">
      <c r="A30" s="336" t="s">
        <v>1078</v>
      </c>
      <c r="B30" s="335">
        <f>24-B29</f>
        <v>0</v>
      </c>
      <c r="C30" s="326" t="s">
        <v>2</v>
      </c>
      <c r="D30" s="168"/>
      <c r="E30" s="168"/>
      <c r="F30" s="168"/>
      <c r="H30" s="329"/>
      <c r="I30" s="330"/>
      <c r="J30" s="331"/>
      <c r="K30" s="330"/>
      <c r="L30" s="330"/>
      <c r="M30" s="330"/>
      <c r="U30" s="167"/>
      <c r="V30" s="167"/>
      <c r="W30" s="167"/>
    </row>
    <row r="31" spans="1:157" s="326" customFormat="1" ht="30" customHeight="1">
      <c r="A31" s="336" t="s">
        <v>1079</v>
      </c>
      <c r="B31" s="495">
        <f>Fuel!G28</f>
        <v>2.08</v>
      </c>
      <c r="D31" s="856" t="s">
        <v>1080</v>
      </c>
      <c r="E31" s="856"/>
      <c r="F31" s="856"/>
      <c r="H31" s="329"/>
      <c r="I31" s="330"/>
      <c r="J31" s="331"/>
      <c r="K31" s="330"/>
      <c r="L31" s="330"/>
      <c r="M31" s="330"/>
      <c r="U31" s="167"/>
      <c r="V31" s="167"/>
      <c r="W31" s="167"/>
    </row>
    <row r="32" spans="1:157" s="326" customFormat="1" ht="30" customHeight="1">
      <c r="A32" s="336" t="s">
        <v>1081</v>
      </c>
      <c r="B32" s="342" t="s">
        <v>99</v>
      </c>
      <c r="C32" s="167"/>
      <c r="D32" s="861" t="s">
        <v>1082</v>
      </c>
      <c r="E32" s="861"/>
      <c r="F32" s="861"/>
      <c r="G32" s="167"/>
      <c r="H32" s="329"/>
      <c r="I32" s="330"/>
      <c r="J32" s="331"/>
      <c r="K32" s="330"/>
      <c r="L32" s="330"/>
      <c r="M32" s="330"/>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row>
    <row r="33" spans="1:41" ht="30" customHeight="1">
      <c r="A33" s="333" t="s">
        <v>1083</v>
      </c>
      <c r="B33" s="338" t="s">
        <v>637</v>
      </c>
      <c r="D33" s="861" t="s">
        <v>1082</v>
      </c>
      <c r="E33" s="861"/>
      <c r="F33" s="861"/>
      <c r="H33" s="329"/>
      <c r="I33" s="330"/>
      <c r="J33" s="331"/>
      <c r="K33" s="330"/>
      <c r="L33" s="330"/>
      <c r="M33" s="330"/>
    </row>
    <row r="34" spans="1:41" ht="47.25" customHeight="1">
      <c r="A34" s="333" t="s">
        <v>1084</v>
      </c>
      <c r="B34" s="335">
        <f>VLOOKUP(B33,W2:X12,2,)</f>
        <v>2.08</v>
      </c>
      <c r="H34" s="329"/>
      <c r="I34" s="330"/>
      <c r="J34" s="331"/>
      <c r="K34" s="303"/>
      <c r="L34" s="303"/>
      <c r="M34" s="303"/>
    </row>
    <row r="35" spans="1:41" ht="30" customHeight="1">
      <c r="A35" s="336" t="s">
        <v>1085</v>
      </c>
      <c r="B35" s="310">
        <v>1</v>
      </c>
      <c r="C35" s="167" t="s">
        <v>1029</v>
      </c>
      <c r="D35" s="861" t="s">
        <v>1086</v>
      </c>
      <c r="E35" s="861"/>
      <c r="F35" s="861"/>
      <c r="H35" s="329"/>
      <c r="I35" s="330"/>
      <c r="J35" s="331"/>
      <c r="K35" s="330"/>
      <c r="L35" s="330"/>
      <c r="M35" s="330"/>
    </row>
    <row r="36" spans="1:41" ht="30" customHeight="1">
      <c r="A36" s="340" t="s">
        <v>1087</v>
      </c>
      <c r="B36" s="343">
        <f>IF(B32="Yes",(X2/B34)*B35,1)</f>
        <v>1</v>
      </c>
      <c r="C36" s="326"/>
      <c r="D36" s="168"/>
      <c r="E36" s="168"/>
      <c r="F36" s="168"/>
      <c r="G36" s="326"/>
      <c r="H36" s="329"/>
      <c r="I36" s="330"/>
      <c r="J36" s="331"/>
      <c r="K36" s="303"/>
      <c r="L36" s="303"/>
      <c r="M36" s="303"/>
    </row>
    <row r="37" spans="1:41" s="326" customFormat="1" ht="29.25" customHeight="1">
      <c r="C37" s="167"/>
      <c r="D37" s="344"/>
      <c r="E37" s="344"/>
      <c r="F37" s="344"/>
      <c r="G37" s="167"/>
      <c r="H37" s="329"/>
      <c r="I37" s="330"/>
      <c r="J37" s="331"/>
      <c r="K37" s="303"/>
      <c r="L37" s="303"/>
      <c r="M37" s="303"/>
      <c r="N37" s="167"/>
      <c r="P37" s="308"/>
      <c r="Q37" s="167"/>
      <c r="R37" s="167"/>
      <c r="S37" s="167"/>
      <c r="T37" s="167"/>
      <c r="U37" s="341"/>
      <c r="V37" s="341"/>
      <c r="W37" s="341"/>
      <c r="X37" s="167"/>
      <c r="Y37" s="167"/>
      <c r="Z37" s="167"/>
      <c r="AA37" s="167"/>
      <c r="AB37" s="167"/>
      <c r="AC37" s="167"/>
      <c r="AD37" s="167"/>
      <c r="AE37" s="167"/>
      <c r="AF37" s="167"/>
      <c r="AG37" s="167"/>
      <c r="AH37" s="167"/>
      <c r="AI37" s="167"/>
      <c r="AJ37" s="167"/>
      <c r="AK37" s="167"/>
      <c r="AL37" s="167"/>
      <c r="AM37" s="167"/>
      <c r="AN37" s="167"/>
      <c r="AO37" s="167"/>
    </row>
    <row r="38" spans="1:41" ht="31.5" customHeight="1">
      <c r="A38" s="352" t="s">
        <v>1088</v>
      </c>
      <c r="B38" s="496" t="s">
        <v>1089</v>
      </c>
      <c r="C38" s="353" t="str">
        <f>IF(OR(B12="Air to Air",B12="Brine to Air",B12="Water to Air"),"For Heating by Air, select No for Low, Medium and Very High Temperature Test Points","")</f>
        <v/>
      </c>
      <c r="D38" s="860" t="s">
        <v>1090</v>
      </c>
      <c r="E38" s="860"/>
      <c r="F38" s="860"/>
      <c r="G38" s="352"/>
      <c r="H38" s="350"/>
      <c r="I38" s="330"/>
      <c r="J38" s="331"/>
      <c r="K38" s="330"/>
      <c r="L38" s="330"/>
      <c r="M38" s="330"/>
      <c r="N38" s="326"/>
      <c r="O38" s="308"/>
      <c r="P38" s="308"/>
      <c r="Q38" s="326"/>
      <c r="R38" s="326"/>
      <c r="S38" s="326"/>
      <c r="T38" s="326"/>
      <c r="U38" s="326"/>
      <c r="V38" s="326"/>
      <c r="W38" s="326"/>
      <c r="X38" s="326"/>
      <c r="Y38" s="326"/>
      <c r="Z38" s="326"/>
      <c r="AA38" s="326"/>
      <c r="AB38" s="326"/>
      <c r="AC38" s="326"/>
      <c r="AD38" s="326"/>
      <c r="AE38" s="326"/>
      <c r="AF38" s="326"/>
      <c r="AG38" s="326"/>
      <c r="AH38" s="326"/>
      <c r="AI38" s="326"/>
      <c r="AJ38" s="326"/>
      <c r="AK38" s="326"/>
      <c r="AL38" s="326"/>
      <c r="AM38" s="326"/>
      <c r="AN38" s="326"/>
      <c r="AO38" s="326"/>
    </row>
    <row r="39" spans="1:41" s="326" customFormat="1" ht="31.5" customHeight="1">
      <c r="A39" s="352" t="s">
        <v>1091</v>
      </c>
      <c r="B39" s="355" t="s">
        <v>999</v>
      </c>
      <c r="C39" s="342" t="s">
        <v>99</v>
      </c>
      <c r="D39" s="860" t="s">
        <v>1090</v>
      </c>
      <c r="E39" s="860"/>
      <c r="F39" s="860"/>
      <c r="G39" s="352"/>
      <c r="H39" s="350"/>
      <c r="I39" s="330"/>
      <c r="J39" s="331"/>
      <c r="K39" s="330"/>
      <c r="L39" s="330"/>
      <c r="M39" s="330"/>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7"/>
    </row>
    <row r="40" spans="1:41" ht="31.5" customHeight="1">
      <c r="A40" s="352"/>
      <c r="B40" s="355" t="s">
        <v>1092</v>
      </c>
      <c r="C40" s="342" t="s">
        <v>99</v>
      </c>
      <c r="D40" s="860" t="s">
        <v>1090</v>
      </c>
      <c r="E40" s="860"/>
      <c r="F40" s="860"/>
      <c r="G40" s="352"/>
      <c r="H40" s="350"/>
      <c r="I40" s="330"/>
      <c r="J40" s="331"/>
      <c r="K40" s="330"/>
      <c r="L40" s="330"/>
      <c r="M40" s="330"/>
    </row>
    <row r="41" spans="1:41">
      <c r="A41" s="352"/>
      <c r="B41" s="355" t="s">
        <v>1020</v>
      </c>
      <c r="C41" s="342" t="s">
        <v>99</v>
      </c>
      <c r="D41" s="860" t="s">
        <v>1090</v>
      </c>
      <c r="E41" s="860"/>
      <c r="F41" s="860"/>
      <c r="G41" s="352"/>
      <c r="H41" s="350"/>
      <c r="I41" s="330"/>
      <c r="J41" s="331"/>
      <c r="K41" s="330"/>
      <c r="L41" s="330"/>
      <c r="M41" s="330"/>
      <c r="U41" s="341"/>
      <c r="V41" s="341"/>
      <c r="W41" s="341"/>
    </row>
    <row r="42" spans="1:41" ht="30.75" customHeight="1" thickBot="1">
      <c r="A42" s="352"/>
      <c r="B42" s="357" t="s">
        <v>1093</v>
      </c>
      <c r="C42" s="358">
        <f>IF(C41="Yes",65,55)</f>
        <v>55</v>
      </c>
      <c r="D42" s="866" t="str">
        <f>IF(B25&gt;C42,"ERROR: Heat Pump data not suitable for Design Flow Temperature, test data must be available for higher supply temperature","")</f>
        <v>ERROR: Heat Pump data not suitable for Design Flow Temperature, test data must be available for higher supply temperature</v>
      </c>
      <c r="E42" s="867"/>
      <c r="F42" s="867"/>
      <c r="G42" s="352"/>
      <c r="H42" s="350"/>
      <c r="I42" s="350"/>
      <c r="J42" s="331"/>
      <c r="K42" s="330"/>
      <c r="L42" s="330"/>
      <c r="M42" s="330"/>
      <c r="U42" s="341"/>
      <c r="V42" s="341"/>
      <c r="W42" s="341"/>
    </row>
    <row r="43" spans="1:41" ht="33.75" customHeight="1" thickBot="1">
      <c r="A43" s="359" t="s">
        <v>2</v>
      </c>
      <c r="B43" s="360" t="s">
        <v>1088</v>
      </c>
      <c r="C43" s="361" t="s">
        <v>1094</v>
      </c>
      <c r="D43" s="362" t="s">
        <v>1095</v>
      </c>
      <c r="E43" s="362" t="s">
        <v>1096</v>
      </c>
      <c r="F43" s="362" t="s">
        <v>1097</v>
      </c>
      <c r="G43" s="363" t="s">
        <v>1098</v>
      </c>
      <c r="H43" s="364"/>
      <c r="I43" s="365"/>
      <c r="J43" s="331"/>
      <c r="K43" s="303"/>
      <c r="L43" s="303"/>
      <c r="M43" s="303"/>
      <c r="N43" s="326"/>
      <c r="O43" s="326"/>
      <c r="P43" s="326"/>
      <c r="Q43" s="326"/>
      <c r="R43" s="326" t="s">
        <v>2</v>
      </c>
      <c r="S43" s="326" t="s">
        <v>2</v>
      </c>
      <c r="T43" s="326"/>
      <c r="U43" s="326"/>
      <c r="V43" s="326"/>
      <c r="W43" s="326"/>
      <c r="X43" s="326"/>
      <c r="Y43" s="326"/>
      <c r="Z43" s="326"/>
      <c r="AA43" s="326"/>
      <c r="AB43" s="326"/>
      <c r="AC43" s="326"/>
      <c r="AD43" s="326"/>
      <c r="AE43" s="326"/>
      <c r="AF43" s="326"/>
      <c r="AG43" s="326"/>
      <c r="AH43" s="326"/>
      <c r="AI43" s="326"/>
      <c r="AJ43" s="326"/>
      <c r="AK43" s="326"/>
      <c r="AL43" s="326"/>
      <c r="AM43" s="326"/>
      <c r="AN43" s="326"/>
      <c r="AO43" s="326"/>
    </row>
    <row r="44" spans="1:41" s="326" customFormat="1" ht="51.75" customHeight="1">
      <c r="A44" s="366" t="s">
        <v>1099</v>
      </c>
      <c r="B44" s="367" t="s">
        <v>1100</v>
      </c>
      <c r="C44" s="368" t="str">
        <f>IF(OR($B$12="Water to Water",$B$12="Water to Air"),"W10",(IF(OR($B$12="Brine to Water",$B$12="Brine to Air"),"B0","A-7")))</f>
        <v>A-7</v>
      </c>
      <c r="D44" s="369" t="str">
        <f>IF(OR($B$12="Water to Water",$B$12="Water to Air"),"W10",(IF(OR($B$12="Brine to Water",$B$12="Brine to Air"),"B0","A2")))</f>
        <v>A2</v>
      </c>
      <c r="E44" s="369" t="str">
        <f>IF(OR($B$12="Water to Water",$B$12="Water to Air"),"W10",(IF(OR($B$12="Brine to Water",$B$12="Brine to Air"),"B0","A7")))</f>
        <v>A7</v>
      </c>
      <c r="F44" s="369" t="str">
        <f>IF(OR($B$12="Water to Water",$B$12="Water to Air"),"W10",(IF(OR($B$12="Brine to Water",$B$12="Brine to Air"),"B0","A12")))</f>
        <v>A12</v>
      </c>
      <c r="G44" s="370" t="str">
        <f>IF(OR($B$12="Water to Water",$B$12="Water to Air"),"W10",(IF(OR($B$12="Brine to Water",$B$12="Brine to Air"),"B0","A"&amp;B15)))</f>
        <v xml:space="preserve">A </v>
      </c>
      <c r="H44" s="371"/>
      <c r="I44" s="371"/>
      <c r="J44" s="331"/>
      <c r="K44" s="330"/>
      <c r="L44" s="330"/>
      <c r="M44" s="330"/>
    </row>
    <row r="45" spans="1:41" s="326" customFormat="1" ht="32.25" customHeight="1">
      <c r="A45" s="373"/>
      <c r="B45" s="374" t="s">
        <v>1101</v>
      </c>
      <c r="C45" s="375" t="str">
        <f>IF(OR($B$12="Water to Air",$B$12="Air to Air",$B$12="Brine to Air"),"A20",(IF($B$13="Fixed Outlet","W35","W34")))</f>
        <v>W34</v>
      </c>
      <c r="D45" s="376" t="str">
        <f>IF(OR($B$12="Water to Air",$B$12="Air to Air",$B$12="Brine to Air"),"A20",(IF($B$13="Fixed Outlet","W35","W30")))</f>
        <v>W30</v>
      </c>
      <c r="E45" s="376" t="str">
        <f>IF(OR($B$12="Water to Air",$B$12="Air to Air",$B$12="Brine to Air"),"A20",(IF($B$13="Fixed Outlet","W35","W27")))</f>
        <v>W27</v>
      </c>
      <c r="F45" s="376" t="str">
        <f>IF(OR($B$12="Water to Air",$B$12="Air to Air",$B$12="Brine to Air"),"A20",(IF($B$13="Fixed Outlet","W35","W24")))</f>
        <v>W24</v>
      </c>
      <c r="G45" s="377" t="str">
        <f>IF(OR($B$12="Water to Air",$B$12="Air to Air",$B$12="Brine to Air"),"A20",(IF($B$13="Fixed Outlet","W35","W35")))</f>
        <v>W35</v>
      </c>
      <c r="H45" s="371"/>
      <c r="I45" s="378"/>
      <c r="J45" s="331"/>
      <c r="K45" s="330"/>
      <c r="L45" s="330"/>
      <c r="M45" s="330"/>
    </row>
    <row r="46" spans="1:41" s="326" customFormat="1" ht="31.5" customHeight="1">
      <c r="A46" s="373" t="s">
        <v>1102</v>
      </c>
      <c r="B46" s="374" t="s">
        <v>1103</v>
      </c>
      <c r="C46" s="379">
        <v>0</v>
      </c>
      <c r="D46" s="342">
        <v>0</v>
      </c>
      <c r="E46" s="342">
        <v>0</v>
      </c>
      <c r="F46" s="342">
        <v>0</v>
      </c>
      <c r="G46" s="380">
        <v>0</v>
      </c>
      <c r="H46" s="381"/>
      <c r="I46" s="330"/>
      <c r="J46" s="331"/>
      <c r="K46" s="330"/>
      <c r="L46" s="330"/>
      <c r="M46" s="330"/>
      <c r="N46" s="167"/>
      <c r="O46" s="167"/>
      <c r="P46" s="167"/>
      <c r="Q46" s="167"/>
      <c r="R46" s="167"/>
      <c r="S46" s="167"/>
      <c r="T46" s="167"/>
      <c r="U46" s="341"/>
      <c r="V46" s="341"/>
      <c r="W46" s="341"/>
      <c r="X46" s="167"/>
      <c r="Y46" s="167"/>
      <c r="Z46" s="167"/>
      <c r="AA46" s="167"/>
      <c r="AB46" s="167"/>
      <c r="AC46" s="167"/>
      <c r="AD46" s="167"/>
      <c r="AE46" s="167"/>
      <c r="AF46" s="167"/>
      <c r="AG46" s="167"/>
      <c r="AH46" s="167"/>
      <c r="AI46" s="167"/>
      <c r="AJ46" s="167"/>
      <c r="AK46" s="167"/>
      <c r="AL46" s="167"/>
      <c r="AM46" s="167"/>
      <c r="AN46" s="167"/>
      <c r="AO46" s="167"/>
    </row>
    <row r="47" spans="1:41" ht="31.5" customHeight="1" thickBot="1">
      <c r="A47" s="373"/>
      <c r="B47" s="383" t="s">
        <v>1104</v>
      </c>
      <c r="C47" s="379">
        <v>0</v>
      </c>
      <c r="D47" s="342">
        <v>0</v>
      </c>
      <c r="E47" s="342">
        <v>0</v>
      </c>
      <c r="F47" s="342">
        <v>0</v>
      </c>
      <c r="G47" s="384">
        <v>0</v>
      </c>
      <c r="H47" s="385"/>
      <c r="I47" s="378"/>
      <c r="J47" s="331"/>
      <c r="K47" s="303"/>
      <c r="L47" s="303"/>
      <c r="M47" s="303"/>
      <c r="N47" s="326"/>
      <c r="O47" s="326"/>
      <c r="P47" s="326"/>
      <c r="Q47" s="326"/>
      <c r="R47" s="326"/>
      <c r="S47" s="326"/>
      <c r="T47" s="326"/>
      <c r="U47" s="326"/>
      <c r="V47" s="326"/>
      <c r="W47" s="326"/>
      <c r="X47" s="326"/>
      <c r="Y47" s="326"/>
      <c r="Z47" s="326"/>
      <c r="AA47" s="326"/>
      <c r="AB47" s="326"/>
      <c r="AC47" s="326"/>
      <c r="AD47" s="326"/>
      <c r="AE47" s="326"/>
      <c r="AF47" s="326"/>
      <c r="AG47" s="326"/>
      <c r="AH47" s="326"/>
      <c r="AI47" s="326"/>
      <c r="AJ47" s="326"/>
      <c r="AK47" s="326"/>
      <c r="AL47" s="326"/>
      <c r="AM47" s="326"/>
      <c r="AN47" s="326"/>
      <c r="AO47" s="326"/>
    </row>
    <row r="48" spans="1:41" s="326" customFormat="1" ht="36" customHeight="1">
      <c r="A48" s="387" t="s">
        <v>1105</v>
      </c>
      <c r="B48" s="367" t="s">
        <v>1100</v>
      </c>
      <c r="C48" s="368" t="str">
        <f>IF(OR($B$12="Water to Water",$B$12="Water to Air"),"W10",(IF(OR($B$12="Brine to Water",$B$12="Brine to Air"),"B0","A-7")))</f>
        <v>A-7</v>
      </c>
      <c r="D48" s="369" t="str">
        <f>IF(OR($B$12="Water to Water",$B$12="Water to Air"),"W10",(IF(OR($B$12="Brine to Water",$B$12="Brine to Air"),"B0","A2")))</f>
        <v>A2</v>
      </c>
      <c r="E48" s="369" t="str">
        <f>IF(OR($B$12="Water to Water",$B$12="Water to Air"),"W10",(IF(OR($B$12="Brine to Water",$B$12="Brine to Air"),"B0","A7")))</f>
        <v>A7</v>
      </c>
      <c r="F48" s="369" t="str">
        <f>IF(OR($B$12="Water to Water",$B$12="Water to Air"),"W10",(IF(OR($B$12="Brine to Water",$B$12="Brine to Air"),"B0","A12")))</f>
        <v>A12</v>
      </c>
      <c r="G48" s="370" t="str">
        <f>IF(OR($B$12="Water to Water",$B$12="Water to Air"),"W10",(IF(OR($B$12="Brine to Water",$B$12="Brine to Air"),"B0","A"&amp;B15)))</f>
        <v xml:space="preserve">A </v>
      </c>
      <c r="H48" s="385"/>
      <c r="I48" s="388"/>
      <c r="J48" s="331"/>
      <c r="K48" s="330"/>
      <c r="L48" s="330"/>
      <c r="M48" s="330"/>
      <c r="N48" s="167"/>
      <c r="O48" s="167"/>
      <c r="P48" s="167"/>
      <c r="Q48" s="167"/>
      <c r="R48" s="167"/>
      <c r="S48" s="167"/>
      <c r="T48" s="167"/>
      <c r="U48" s="167"/>
      <c r="V48" s="167"/>
      <c r="W48" s="167"/>
      <c r="X48" s="167"/>
      <c r="Y48" s="167"/>
      <c r="Z48" s="167"/>
      <c r="AA48" s="167"/>
      <c r="AB48" s="167"/>
      <c r="AC48" s="167"/>
      <c r="AD48" s="167"/>
      <c r="AE48" s="167"/>
      <c r="AF48" s="167"/>
      <c r="AG48" s="167"/>
      <c r="AH48" s="167"/>
      <c r="AI48" s="167"/>
      <c r="AJ48" s="167"/>
      <c r="AK48" s="167"/>
      <c r="AL48" s="167"/>
      <c r="AM48" s="167"/>
      <c r="AN48" s="167"/>
      <c r="AO48" s="167"/>
    </row>
    <row r="49" spans="1:157" ht="15.75" customHeight="1">
      <c r="A49" s="389"/>
      <c r="B49" s="374" t="s">
        <v>1101</v>
      </c>
      <c r="C49" s="375" t="str">
        <f>IF(OR($B$12="Water to Air",$B$12="Air to Air",$B$12="Brine to Air"),"A20",(IF($B$13="Fixed Outlet","W45","W43")))</f>
        <v>W43</v>
      </c>
      <c r="D49" s="376" t="str">
        <f>IF(OR($B$12="Water to Air",$B$12="Air to Air",$B$12="Brine to Air"),"A20",(IF($B$13="Fixed Outlet","W45","W37")))</f>
        <v>W37</v>
      </c>
      <c r="E49" s="376" t="str">
        <f>IF(OR($B$12="Water to Air",$B$12="Air to Air",$B$12="Brine to Air"),"A20",(IF($B$13="Fixed Outlet","W45","W33")))</f>
        <v>W33</v>
      </c>
      <c r="F49" s="376" t="str">
        <f>IF(OR($B$12="Water to Air",$B$12="Air to Air",$B$12="Brine to Air"),"A20",(IF($B$13="Fixed Outlet","W45","W28")))</f>
        <v>W28</v>
      </c>
      <c r="G49" s="377" t="str">
        <f>IF(OR($B$12="Water to Air",$B$12="Air to Air",$B$12="Brine to Air"),"A20",(IF($B$13="Fixed Outlet","W45","W45")))</f>
        <v>W45</v>
      </c>
      <c r="H49" s="385"/>
      <c r="I49" s="388"/>
      <c r="J49" s="331"/>
      <c r="K49" s="330"/>
      <c r="L49" s="330"/>
      <c r="M49" s="330"/>
    </row>
    <row r="50" spans="1:157" ht="15.75" customHeight="1">
      <c r="A50" s="389" t="s">
        <v>1106</v>
      </c>
      <c r="B50" s="374" t="s">
        <v>1103</v>
      </c>
      <c r="C50" s="379">
        <v>0</v>
      </c>
      <c r="D50" s="342">
        <v>0</v>
      </c>
      <c r="E50" s="342">
        <v>0</v>
      </c>
      <c r="F50" s="342">
        <v>0</v>
      </c>
      <c r="G50" s="384">
        <v>0</v>
      </c>
      <c r="H50" s="371"/>
      <c r="I50" s="378"/>
      <c r="J50" s="331"/>
      <c r="K50" s="330"/>
      <c r="L50" s="330"/>
      <c r="M50" s="330"/>
      <c r="N50" s="347"/>
    </row>
    <row r="51" spans="1:157" ht="16.5" thickBot="1">
      <c r="A51" s="389"/>
      <c r="B51" s="391" t="s">
        <v>1104</v>
      </c>
      <c r="C51" s="379">
        <v>0</v>
      </c>
      <c r="D51" s="342">
        <v>0</v>
      </c>
      <c r="E51" s="342">
        <v>0</v>
      </c>
      <c r="F51" s="342">
        <v>0</v>
      </c>
      <c r="G51" s="384">
        <v>0</v>
      </c>
      <c r="H51" s="392"/>
      <c r="I51" s="371"/>
      <c r="J51" s="331"/>
      <c r="K51" s="330"/>
      <c r="L51" s="330"/>
      <c r="M51" s="330"/>
      <c r="N51" s="348" t="s">
        <v>2</v>
      </c>
    </row>
    <row r="52" spans="1:157" ht="28.5" customHeight="1">
      <c r="A52" s="387" t="s">
        <v>1107</v>
      </c>
      <c r="B52" s="367" t="s">
        <v>1100</v>
      </c>
      <c r="C52" s="368" t="str">
        <f>IF(OR($B$12="Water to Water",$B$12="Water to Air"),"W10",(IF(OR($B$12="Brine to Water",$B$12="Brine to Air"),"B0","A-7")))</f>
        <v>A-7</v>
      </c>
      <c r="D52" s="369" t="str">
        <f>IF(OR($B$12="Water to Water",$B$12="Water to Air"),"W10",(IF(OR($B$12="Brine to Water",$B$12="Brine to Air"),"B0","A2")))</f>
        <v>A2</v>
      </c>
      <c r="E52" s="369" t="str">
        <f>IF(OR($B$12="Water to Water",$B$12="Water to Air"),"W10",(IF(OR($B$12="Brine to Water",$B$12="Brine to Air"),"B0","A7")))</f>
        <v>A7</v>
      </c>
      <c r="F52" s="369" t="str">
        <f>IF(OR($B$12="Water to Water",$B$12="Water to Air"),"W10",(IF(OR($B$12="Brine to Water",$B$12="Brine to Air"),"B0","A12")))</f>
        <v>A12</v>
      </c>
      <c r="G52" s="370" t="str">
        <f>IF(OR($B$12="Water to Water",$B$12="Water to Air"),"W10",(IF(OR($B$12="Brine to Water",$B$12="Brine to Air"),"B0","A"&amp;B15)))</f>
        <v xml:space="preserve">A </v>
      </c>
      <c r="H52" s="392"/>
      <c r="I52" s="388"/>
      <c r="J52" s="351"/>
      <c r="K52" s="350"/>
      <c r="L52" s="350"/>
      <c r="M52" s="350"/>
      <c r="N52" s="352"/>
    </row>
    <row r="53" spans="1:157" ht="81" customHeight="1">
      <c r="A53" s="389"/>
      <c r="B53" s="374" t="s">
        <v>1101</v>
      </c>
      <c r="C53" s="375" t="str">
        <f>IF(OR($B$12="Water to Air",$B$12="Air to Air",$B$12="Brine to Air"),"A20",(IF($B$13="Fixed Outlet","W55","W52")))</f>
        <v>W52</v>
      </c>
      <c r="D53" s="376" t="str">
        <f>IF(OR($B$12="Water to Air",$B$12="Air to Air",$B$12="Brine to Air"),"A20",(IF($B$13="Fixed Outlet","W55","W42")))</f>
        <v>W42</v>
      </c>
      <c r="E53" s="376" t="str">
        <f>IF(OR($B$12="Water to Air",$B$12="Air to Air",$B$12="Brine to Air"),"A20",(IF($B$13="Fixed Outlet","W55","W36")))</f>
        <v>W36</v>
      </c>
      <c r="F53" s="376" t="str">
        <f>IF(OR($B$12="Water to Air",$B$12="Air to Air",$B$12="Brine to Air"),"A20",(IF($B$13="Fixed Outlet","W55","W30")))</f>
        <v>W30</v>
      </c>
      <c r="G53" s="377" t="str">
        <f>IF(OR($B$12="Water to Air",$B$12="Air to Air",$B$12="Brine to Air"),"A20",(IF($B$13="Fixed Outlet","W55","W55")))</f>
        <v>W55</v>
      </c>
      <c r="H53" s="392"/>
      <c r="I53" s="388"/>
      <c r="J53" s="354"/>
      <c r="K53" s="303"/>
      <c r="L53" s="303"/>
      <c r="M53" s="303"/>
      <c r="N53" s="352"/>
      <c r="O53" s="326"/>
      <c r="P53" s="326"/>
      <c r="Q53" s="326"/>
      <c r="R53" s="326"/>
      <c r="S53" s="326"/>
      <c r="T53" s="326"/>
      <c r="U53" s="326"/>
    </row>
    <row r="54" spans="1:157" ht="30.75" customHeight="1">
      <c r="A54" s="389" t="s">
        <v>1108</v>
      </c>
      <c r="B54" s="374" t="s">
        <v>1103</v>
      </c>
      <c r="C54" s="379">
        <v>0</v>
      </c>
      <c r="D54" s="342">
        <v>0</v>
      </c>
      <c r="E54" s="342">
        <v>0</v>
      </c>
      <c r="F54" s="342">
        <v>0</v>
      </c>
      <c r="G54" s="384">
        <v>0</v>
      </c>
      <c r="H54" s="385"/>
      <c r="I54" s="378"/>
      <c r="J54" s="356"/>
      <c r="K54" s="303"/>
      <c r="L54" s="303"/>
      <c r="M54" s="303"/>
      <c r="N54" s="352"/>
      <c r="O54" s="326"/>
      <c r="P54" s="326"/>
      <c r="Q54" s="326"/>
      <c r="R54" s="326"/>
      <c r="S54" s="326"/>
      <c r="T54" s="326"/>
      <c r="U54" s="326"/>
    </row>
    <row r="55" spans="1:157" ht="30.75" customHeight="1" thickBot="1">
      <c r="A55" s="389"/>
      <c r="B55" s="383" t="s">
        <v>1104</v>
      </c>
      <c r="C55" s="379">
        <v>0</v>
      </c>
      <c r="D55" s="342">
        <v>0</v>
      </c>
      <c r="E55" s="342">
        <v>0</v>
      </c>
      <c r="F55" s="342">
        <v>0</v>
      </c>
      <c r="G55" s="384">
        <v>0</v>
      </c>
      <c r="H55" s="371"/>
      <c r="I55" s="371"/>
      <c r="J55" s="356"/>
      <c r="K55" s="303"/>
      <c r="L55" s="303"/>
      <c r="M55" s="303"/>
      <c r="N55" s="352"/>
      <c r="O55" s="326"/>
      <c r="P55" s="326"/>
      <c r="Q55" s="326"/>
      <c r="R55" s="326"/>
      <c r="S55" s="326"/>
      <c r="T55" s="326"/>
      <c r="U55" s="326"/>
    </row>
    <row r="56" spans="1:157" ht="30.75" customHeight="1">
      <c r="A56" s="387" t="s">
        <v>1109</v>
      </c>
      <c r="B56" s="394" t="s">
        <v>1100</v>
      </c>
      <c r="C56" s="368" t="str">
        <f>IF(OR($B$12="Water to Water",$B$12="Water to Air"),"W10",(IF(OR($B$12="Brine to Water",$B$12="Brine to Air"),"B0","A-7")))</f>
        <v>A-7</v>
      </c>
      <c r="D56" s="369" t="str">
        <f>IF(OR($B$12="Water to Water",$B$12="Water to Air"),"W10",(IF(OR($B$12="Brine to Water",$B$12="Brine to Air"),"B0","A2")))</f>
        <v>A2</v>
      </c>
      <c r="E56" s="369" t="str">
        <f>IF(OR($B$12="Water to Water",$B$12="Water to Air"),"W10",(IF(OR($B$12="Brine to Water",$B$12="Brine to Air"),"B0","A7")))</f>
        <v>A7</v>
      </c>
      <c r="F56" s="369" t="str">
        <f>IF(OR($B$12="Water to Water",$B$12="Water to Air"),"W10",(IF(OR($B$12="Brine to Water",$B$12="Brine to Air"),"B0","A12")))</f>
        <v>A12</v>
      </c>
      <c r="G56" s="370" t="str">
        <f>IF(OR($B$12="Water to Water",$B$12="Water to Air"),"W10",(IF(OR($B$12="Brine to Water",$B$12="Brine to Air"),"B0","A"&amp;B15)))</f>
        <v xml:space="preserve">A </v>
      </c>
      <c r="H56" s="392"/>
      <c r="I56" s="388"/>
      <c r="J56" s="356"/>
      <c r="K56" s="303"/>
      <c r="L56" s="303"/>
      <c r="M56" s="303"/>
      <c r="N56" s="308"/>
      <c r="O56" s="308"/>
      <c r="P56" s="308"/>
      <c r="Q56" s="308"/>
      <c r="R56" s="308"/>
      <c r="S56" s="308"/>
      <c r="T56" s="308"/>
      <c r="U56" s="326"/>
    </row>
    <row r="57" spans="1:157" ht="49.5" customHeight="1">
      <c r="A57" s="389"/>
      <c r="B57" s="374" t="s">
        <v>1101</v>
      </c>
      <c r="C57" s="375" t="str">
        <f>IF(OR($B$12="Water to Air",$B$12="Air to Air",$B$12="Brine to Air"),"A20",(IF($B$13="Fixed Outlet","W65","W61")))</f>
        <v>W61</v>
      </c>
      <c r="D57" s="376" t="str">
        <f>IF(OR($B$12="Water to Air",$B$12="Air to Air",$B$12="Brine to Air"),"A20",(IF($B$13="Fixed Outlet","W65","W49")))</f>
        <v>W49</v>
      </c>
      <c r="E57" s="376" t="str">
        <f>IF(OR($B$12="Water to Air",$B$12="Air to Air",$B$12="Brine to Air"),"A20",(IF($B$13="Fixed Outlet","W65","W41")))</f>
        <v>W41</v>
      </c>
      <c r="F57" s="376" t="str">
        <f>IF(OR($B$12="Water to Air",$B$12="Air to Air",$B$12="Brine to Air"),"A20",(IF($B$13="Fixed Outlet","W65","W32")))</f>
        <v>W32</v>
      </c>
      <c r="G57" s="377" t="str">
        <f>IF(OR($B$12="Water to Air",$B$12="Air to Air",$B$12="Brine to Air"),"A20",(IF($B$13="Fixed Outlet","W65","W65")))</f>
        <v>W65</v>
      </c>
      <c r="H57" s="392"/>
      <c r="I57" s="388"/>
      <c r="J57" s="356"/>
      <c r="K57" s="350"/>
      <c r="L57" s="350"/>
      <c r="M57" s="350"/>
      <c r="N57" s="308"/>
      <c r="O57" s="308"/>
      <c r="P57" s="308"/>
      <c r="Q57" s="308"/>
      <c r="R57" s="308"/>
      <c r="S57" s="308"/>
      <c r="T57" s="308"/>
      <c r="U57" s="326"/>
    </row>
    <row r="58" spans="1:157" ht="30.75" customHeight="1">
      <c r="A58" s="389" t="s">
        <v>1110</v>
      </c>
      <c r="B58" s="374" t="s">
        <v>1103</v>
      </c>
      <c r="C58" s="379">
        <v>0</v>
      </c>
      <c r="D58" s="342">
        <v>0</v>
      </c>
      <c r="E58" s="342">
        <v>0</v>
      </c>
      <c r="F58" s="342">
        <v>0</v>
      </c>
      <c r="G58" s="384">
        <v>0</v>
      </c>
      <c r="H58" s="392"/>
      <c r="I58" s="378"/>
      <c r="J58" s="356"/>
      <c r="K58" s="365"/>
      <c r="L58" s="365"/>
      <c r="M58" s="365"/>
      <c r="N58" s="308"/>
      <c r="O58" s="308"/>
      <c r="P58" s="308"/>
      <c r="Q58" s="308"/>
      <c r="R58" s="308"/>
      <c r="S58" s="308"/>
      <c r="T58" s="308"/>
      <c r="U58" s="326"/>
    </row>
    <row r="59" spans="1:157" ht="30.75" customHeight="1" thickBot="1">
      <c r="A59" s="395"/>
      <c r="B59" s="383" t="s">
        <v>1104</v>
      </c>
      <c r="C59" s="396">
        <v>0</v>
      </c>
      <c r="D59" s="397">
        <v>0</v>
      </c>
      <c r="E59" s="397">
        <v>0</v>
      </c>
      <c r="F59" s="397">
        <v>0</v>
      </c>
      <c r="G59" s="398">
        <v>0</v>
      </c>
      <c r="H59" s="385"/>
      <c r="I59" s="330"/>
      <c r="J59" s="372"/>
      <c r="K59" s="303"/>
      <c r="L59" s="303"/>
      <c r="M59" s="303"/>
      <c r="N59" s="308"/>
      <c r="O59" s="308"/>
      <c r="P59" s="308"/>
      <c r="Q59" s="308"/>
      <c r="R59" s="308"/>
      <c r="S59" s="308"/>
      <c r="T59" s="308"/>
      <c r="U59" s="326"/>
    </row>
    <row r="60" spans="1:157" ht="30.75" customHeight="1">
      <c r="A60" s="497"/>
      <c r="B60" s="498"/>
      <c r="C60" s="386"/>
      <c r="D60" s="386"/>
      <c r="E60" s="386"/>
      <c r="F60" s="386"/>
      <c r="G60" s="386"/>
      <c r="H60" s="385"/>
      <c r="I60" s="330"/>
      <c r="J60" s="372"/>
      <c r="K60" s="303"/>
      <c r="L60" s="303"/>
      <c r="M60" s="303"/>
      <c r="N60" s="308"/>
      <c r="O60" s="308"/>
      <c r="P60" s="308"/>
      <c r="Q60" s="308"/>
      <c r="R60" s="308"/>
      <c r="S60" s="308"/>
      <c r="T60" s="308"/>
      <c r="U60" s="326"/>
    </row>
    <row r="61" spans="1:157" ht="30.75" customHeight="1">
      <c r="A61" s="497"/>
      <c r="B61" s="498"/>
      <c r="C61" s="386"/>
      <c r="D61" s="386"/>
      <c r="E61" s="386"/>
      <c r="F61" s="386"/>
      <c r="G61" s="386"/>
      <c r="H61" s="385"/>
      <c r="I61" s="330"/>
      <c r="J61" s="372"/>
      <c r="K61" s="303"/>
      <c r="L61" s="303"/>
      <c r="M61" s="303"/>
      <c r="N61" s="308"/>
      <c r="O61" s="308"/>
      <c r="P61" s="308"/>
      <c r="Q61" s="308"/>
      <c r="R61" s="308"/>
      <c r="S61" s="308"/>
      <c r="T61" s="308"/>
      <c r="U61" s="326"/>
    </row>
    <row r="62" spans="1:157" ht="29.25" customHeight="1">
      <c r="A62" s="864" t="s">
        <v>1480</v>
      </c>
      <c r="B62" s="865"/>
      <c r="C62" s="865"/>
      <c r="D62" s="865"/>
      <c r="E62" s="865"/>
      <c r="F62" s="865"/>
      <c r="G62" s="865"/>
      <c r="H62" s="865"/>
      <c r="I62" s="864"/>
      <c r="J62" s="331"/>
      <c r="K62" s="330"/>
      <c r="L62" s="330"/>
      <c r="M62" s="330"/>
      <c r="N62" s="326"/>
      <c r="O62" s="326"/>
      <c r="P62" s="308"/>
      <c r="Q62" s="326"/>
      <c r="R62" s="326" t="s">
        <v>2</v>
      </c>
      <c r="S62" s="326"/>
      <c r="T62" s="326"/>
      <c r="U62" s="326"/>
      <c r="V62" s="326"/>
      <c r="W62" s="326"/>
      <c r="X62" s="326"/>
      <c r="Y62" s="326"/>
      <c r="Z62" s="326"/>
      <c r="AA62" s="326"/>
      <c r="AB62" s="326"/>
      <c r="AC62" s="326"/>
      <c r="AD62" s="326"/>
      <c r="AE62" s="326"/>
      <c r="AF62" s="326"/>
      <c r="AG62" s="326"/>
      <c r="AH62" s="326"/>
      <c r="AI62" s="326"/>
      <c r="AJ62" s="326"/>
      <c r="AK62" s="326"/>
      <c r="AL62" s="326"/>
      <c r="AM62" s="326"/>
      <c r="AN62" s="326"/>
      <c r="AO62" s="326"/>
    </row>
    <row r="63" spans="1:157" s="326" customFormat="1" ht="35.25" customHeight="1">
      <c r="A63" s="318" t="s">
        <v>1041</v>
      </c>
      <c r="B63" s="317"/>
      <c r="C63" s="167"/>
      <c r="D63" s="860" t="s">
        <v>1042</v>
      </c>
      <c r="E63" s="860"/>
      <c r="F63" s="860"/>
      <c r="G63" s="308"/>
      <c r="H63" s="314"/>
      <c r="I63" s="303"/>
      <c r="J63" s="311"/>
      <c r="K63" s="330"/>
      <c r="L63" s="330"/>
      <c r="M63" s="330"/>
      <c r="N63" s="167"/>
      <c r="P63" s="308"/>
      <c r="Q63" s="167"/>
      <c r="R63" s="167"/>
      <c r="S63" s="167"/>
      <c r="T63" s="167"/>
      <c r="U63" s="167"/>
      <c r="V63" s="167"/>
      <c r="W63" s="167"/>
      <c r="X63" s="167"/>
      <c r="Y63" s="167"/>
      <c r="Z63" s="167"/>
      <c r="AA63" s="167"/>
      <c r="AB63" s="167"/>
      <c r="AC63" s="167"/>
      <c r="AD63" s="167"/>
      <c r="AE63" s="167"/>
      <c r="AF63" s="167"/>
      <c r="AG63" s="167"/>
      <c r="AH63" s="167"/>
      <c r="AI63" s="167"/>
      <c r="AJ63" s="167"/>
      <c r="AK63" s="167"/>
      <c r="AL63" s="167"/>
      <c r="AM63" s="167"/>
      <c r="AN63" s="167"/>
      <c r="AO63" s="167"/>
    </row>
    <row r="64" spans="1:157" ht="30" customHeight="1">
      <c r="A64" s="169" t="s">
        <v>1045</v>
      </c>
      <c r="B64" s="309"/>
      <c r="D64" s="860" t="s">
        <v>1042</v>
      </c>
      <c r="E64" s="860"/>
      <c r="F64" s="860"/>
      <c r="G64" s="308"/>
      <c r="H64" s="314"/>
      <c r="I64" s="303"/>
      <c r="J64" s="311"/>
      <c r="K64" s="303"/>
      <c r="L64" s="303"/>
      <c r="M64" s="303"/>
      <c r="N64" s="308"/>
      <c r="O64" s="308"/>
      <c r="P64" s="308"/>
      <c r="Q64" s="308"/>
      <c r="R64" s="308"/>
      <c r="S64" s="308"/>
      <c r="T64" s="308"/>
      <c r="U64" s="308"/>
      <c r="V64" s="308"/>
      <c r="W64" s="308" t="s">
        <v>903</v>
      </c>
      <c r="X64" s="308">
        <v>1.2</v>
      </c>
      <c r="Y64" s="308"/>
      <c r="Z64" s="308"/>
      <c r="AA64" s="308"/>
      <c r="AB64" s="308"/>
      <c r="AC64" s="308"/>
      <c r="AD64" s="308"/>
      <c r="AE64" s="308"/>
      <c r="AF64" s="308"/>
      <c r="AG64" s="308"/>
      <c r="AH64" s="308"/>
      <c r="AI64" s="308"/>
      <c r="AJ64" s="308"/>
      <c r="AK64" s="308"/>
      <c r="AL64" s="212" t="s">
        <v>1040</v>
      </c>
      <c r="AM64" s="308"/>
      <c r="AN64" s="308"/>
      <c r="AO64" s="308"/>
      <c r="AP64" s="308"/>
      <c r="AQ64" s="308"/>
      <c r="AR64" s="308"/>
      <c r="AS64" s="308"/>
      <c r="AT64" s="308"/>
      <c r="AU64" s="308"/>
      <c r="AV64" s="308"/>
      <c r="AW64" s="308"/>
      <c r="AX64" s="308"/>
      <c r="AY64" s="308"/>
      <c r="AZ64" s="308"/>
      <c r="BA64" s="308"/>
      <c r="BB64" s="308"/>
      <c r="BC64" s="308"/>
      <c r="BD64" s="308"/>
      <c r="BE64" s="308"/>
      <c r="BF64" s="308"/>
      <c r="BG64" s="308"/>
      <c r="BH64" s="308"/>
      <c r="BI64" s="308"/>
      <c r="BJ64" s="308"/>
      <c r="BK64" s="308"/>
      <c r="BL64" s="308"/>
      <c r="BM64" s="308"/>
      <c r="BN64" s="308"/>
      <c r="BO64" s="308"/>
      <c r="BP64" s="308"/>
      <c r="BQ64" s="308"/>
      <c r="BR64" s="308"/>
      <c r="BS64" s="308"/>
      <c r="BT64" s="308"/>
      <c r="BU64" s="308"/>
      <c r="BV64" s="308"/>
      <c r="BW64" s="308"/>
      <c r="BX64" s="308"/>
      <c r="BY64" s="308"/>
      <c r="BZ64" s="308"/>
      <c r="CA64" s="308"/>
      <c r="CB64" s="308"/>
      <c r="CC64" s="308"/>
      <c r="CD64" s="308"/>
      <c r="CE64" s="308"/>
      <c r="CF64" s="308"/>
      <c r="CG64" s="308"/>
      <c r="CH64" s="308"/>
      <c r="CI64" s="308"/>
      <c r="CJ64" s="308"/>
      <c r="CK64" s="308"/>
      <c r="CL64" s="308"/>
      <c r="CM64" s="308"/>
      <c r="CN64" s="308"/>
      <c r="CO64" s="308"/>
      <c r="CP64" s="308"/>
      <c r="CQ64" s="308"/>
      <c r="CR64" s="308"/>
      <c r="CS64" s="308"/>
      <c r="CT64" s="308"/>
      <c r="CU64" s="308"/>
      <c r="CV64" s="308"/>
      <c r="CW64" s="308"/>
      <c r="CX64" s="308"/>
      <c r="CY64" s="308"/>
      <c r="CZ64" s="308"/>
      <c r="DA64" s="308"/>
      <c r="DB64" s="308"/>
      <c r="DC64" s="308"/>
      <c r="DD64" s="308"/>
      <c r="DE64" s="308"/>
      <c r="DF64" s="308"/>
      <c r="DG64" s="308"/>
      <c r="DH64" s="308"/>
      <c r="DI64" s="308"/>
      <c r="DJ64" s="308"/>
      <c r="DK64" s="308"/>
      <c r="DL64" s="308"/>
      <c r="DM64" s="308"/>
      <c r="DN64" s="308"/>
      <c r="DO64" s="308"/>
      <c r="DP64" s="308"/>
      <c r="DQ64" s="308"/>
      <c r="DR64" s="308"/>
      <c r="DS64" s="308"/>
      <c r="DT64" s="308"/>
      <c r="DU64" s="308"/>
      <c r="DV64" s="308"/>
      <c r="DW64" s="308"/>
      <c r="DX64" s="308"/>
      <c r="DY64" s="308"/>
      <c r="DZ64" s="308"/>
      <c r="EA64" s="308"/>
      <c r="EB64" s="308"/>
      <c r="EC64" s="308"/>
      <c r="ED64" s="308"/>
      <c r="EE64" s="308"/>
      <c r="EF64" s="308"/>
      <c r="EG64" s="308"/>
      <c r="EH64" s="308"/>
      <c r="EI64" s="308"/>
      <c r="EJ64" s="308"/>
      <c r="EK64" s="308"/>
      <c r="EL64" s="308"/>
      <c r="EM64" s="308"/>
      <c r="EN64" s="308"/>
      <c r="EO64" s="308"/>
      <c r="EP64" s="308"/>
      <c r="EQ64" s="308"/>
      <c r="ER64" s="308"/>
      <c r="ES64" s="308"/>
      <c r="ET64" s="308"/>
      <c r="EU64" s="308"/>
      <c r="EV64" s="308"/>
      <c r="EW64" s="308"/>
      <c r="EX64" s="308"/>
      <c r="EY64" s="308"/>
      <c r="EZ64" s="308"/>
      <c r="FA64" s="308"/>
    </row>
    <row r="65" spans="1:157" ht="30" customHeight="1">
      <c r="A65" s="169" t="s">
        <v>1047</v>
      </c>
      <c r="B65" s="309" t="s">
        <v>1017</v>
      </c>
      <c r="D65" s="860" t="s">
        <v>1042</v>
      </c>
      <c r="E65" s="860"/>
      <c r="F65" s="860"/>
      <c r="G65" s="308"/>
      <c r="H65" s="314"/>
      <c r="I65" s="303"/>
      <c r="J65" s="311"/>
      <c r="K65" s="303"/>
      <c r="L65" s="303"/>
      <c r="M65" s="303"/>
      <c r="N65" s="308"/>
      <c r="O65" s="308"/>
      <c r="P65" s="308"/>
      <c r="Q65" s="308"/>
      <c r="R65" s="308"/>
      <c r="S65" s="308"/>
      <c r="T65" s="308"/>
      <c r="U65" s="308"/>
      <c r="V65" s="308"/>
      <c r="W65" s="308" t="s">
        <v>1043</v>
      </c>
      <c r="X65" s="308">
        <v>1.1000000000000001</v>
      </c>
      <c r="Y65" s="308"/>
      <c r="Z65" s="308"/>
      <c r="AA65" s="308"/>
      <c r="AB65" s="308"/>
      <c r="AC65" s="308"/>
      <c r="AD65" s="308"/>
      <c r="AE65" s="308"/>
      <c r="AF65" s="308"/>
      <c r="AG65" s="308"/>
      <c r="AH65" s="308"/>
      <c r="AI65" s="308"/>
      <c r="AJ65" s="308"/>
      <c r="AK65" s="308"/>
      <c r="AL65" s="212" t="s">
        <v>1044</v>
      </c>
      <c r="AM65" s="308"/>
      <c r="AN65" s="308"/>
      <c r="AO65" s="308"/>
      <c r="AP65" s="308"/>
      <c r="AQ65" s="308"/>
      <c r="AR65" s="308"/>
      <c r="AS65" s="308"/>
      <c r="AT65" s="308"/>
      <c r="AU65" s="308"/>
      <c r="AV65" s="308"/>
      <c r="AW65" s="308"/>
      <c r="AX65" s="308"/>
      <c r="AY65" s="308"/>
      <c r="AZ65" s="308"/>
      <c r="BA65" s="308"/>
      <c r="BB65" s="308"/>
      <c r="BC65" s="308"/>
      <c r="BD65" s="308"/>
      <c r="BE65" s="308"/>
      <c r="BF65" s="308"/>
      <c r="BG65" s="308"/>
      <c r="BH65" s="308"/>
      <c r="BI65" s="308"/>
      <c r="BJ65" s="308"/>
      <c r="BK65" s="308"/>
      <c r="BL65" s="308"/>
      <c r="BM65" s="308"/>
      <c r="BN65" s="308"/>
      <c r="BO65" s="308"/>
      <c r="BP65" s="308"/>
      <c r="BQ65" s="308"/>
      <c r="BR65" s="308"/>
      <c r="BS65" s="308"/>
      <c r="BT65" s="308"/>
      <c r="BU65" s="308"/>
      <c r="BV65" s="308"/>
      <c r="BW65" s="308"/>
      <c r="BX65" s="308"/>
      <c r="BY65" s="308"/>
      <c r="BZ65" s="308"/>
      <c r="CA65" s="308"/>
      <c r="CB65" s="308"/>
      <c r="CC65" s="308"/>
      <c r="CD65" s="308"/>
      <c r="CE65" s="308"/>
      <c r="CF65" s="308"/>
      <c r="CG65" s="308"/>
      <c r="CH65" s="308"/>
      <c r="CI65" s="308"/>
      <c r="CJ65" s="308"/>
      <c r="CK65" s="308"/>
      <c r="CL65" s="308"/>
      <c r="CM65" s="308"/>
      <c r="CN65" s="308"/>
      <c r="CO65" s="308"/>
      <c r="CP65" s="308"/>
      <c r="CQ65" s="308"/>
      <c r="CR65" s="308"/>
      <c r="CS65" s="308"/>
      <c r="CT65" s="308"/>
      <c r="CU65" s="308"/>
      <c r="CV65" s="308"/>
      <c r="CW65" s="308"/>
      <c r="CX65" s="308"/>
      <c r="CY65" s="308"/>
      <c r="CZ65" s="308"/>
      <c r="DA65" s="308"/>
      <c r="DB65" s="308"/>
      <c r="DC65" s="308"/>
      <c r="DD65" s="308"/>
      <c r="DE65" s="308"/>
      <c r="DF65" s="308"/>
      <c r="DG65" s="308"/>
      <c r="DH65" s="308"/>
      <c r="DI65" s="308"/>
      <c r="DJ65" s="308"/>
      <c r="DK65" s="308"/>
      <c r="DL65" s="308"/>
      <c r="DM65" s="308"/>
      <c r="DN65" s="308"/>
      <c r="DO65" s="308"/>
      <c r="DP65" s="308"/>
      <c r="DQ65" s="308"/>
      <c r="DR65" s="308"/>
      <c r="DS65" s="308"/>
      <c r="DT65" s="308"/>
      <c r="DU65" s="308"/>
      <c r="DV65" s="308"/>
      <c r="DW65" s="308"/>
      <c r="DX65" s="308"/>
      <c r="DY65" s="308"/>
      <c r="DZ65" s="308"/>
      <c r="EA65" s="308"/>
      <c r="EB65" s="308"/>
      <c r="EC65" s="308"/>
      <c r="ED65" s="308"/>
      <c r="EE65" s="308"/>
      <c r="EF65" s="308"/>
      <c r="EG65" s="308"/>
      <c r="EH65" s="308"/>
      <c r="EI65" s="308"/>
      <c r="EJ65" s="308"/>
      <c r="EK65" s="308"/>
      <c r="EL65" s="308"/>
      <c r="EM65" s="308"/>
      <c r="EN65" s="308"/>
      <c r="EO65" s="308"/>
      <c r="EP65" s="308"/>
      <c r="EQ65" s="308"/>
      <c r="ER65" s="308"/>
      <c r="ES65" s="308"/>
      <c r="ET65" s="308"/>
      <c r="EU65" s="308"/>
      <c r="EV65" s="308"/>
      <c r="EW65" s="308"/>
      <c r="EX65" s="308"/>
      <c r="EY65" s="308"/>
      <c r="EZ65" s="308"/>
      <c r="FA65" s="308"/>
    </row>
    <row r="66" spans="1:157" ht="30" customHeight="1">
      <c r="A66" s="169" t="s">
        <v>1049</v>
      </c>
      <c r="B66" s="309" t="s">
        <v>998</v>
      </c>
      <c r="D66" s="860" t="s">
        <v>1050</v>
      </c>
      <c r="E66" s="860"/>
      <c r="F66" s="860"/>
      <c r="G66" s="308"/>
      <c r="H66" s="314"/>
      <c r="I66" s="303"/>
      <c r="J66" s="311"/>
      <c r="K66" s="303"/>
      <c r="L66" s="303"/>
      <c r="M66" s="303"/>
      <c r="N66" s="308"/>
      <c r="O66" s="308"/>
      <c r="P66" s="308"/>
      <c r="Q66" s="308"/>
      <c r="R66" s="308"/>
      <c r="S66" s="308"/>
      <c r="T66" s="308"/>
      <c r="U66" s="308"/>
      <c r="V66" s="308"/>
      <c r="W66" s="308" t="s">
        <v>1046</v>
      </c>
      <c r="X66" s="308">
        <v>1.1000000000000001</v>
      </c>
      <c r="Y66" s="308"/>
      <c r="Z66" s="308"/>
      <c r="AA66" s="308"/>
      <c r="AB66" s="308"/>
      <c r="AC66" s="308"/>
      <c r="AD66" s="308"/>
      <c r="AE66" s="308"/>
      <c r="AF66" s="308"/>
      <c r="AG66" s="308"/>
      <c r="AH66" s="308"/>
      <c r="AI66" s="308"/>
      <c r="AJ66" s="308"/>
      <c r="AK66" s="308"/>
      <c r="AL66" s="308"/>
      <c r="AM66" s="308"/>
      <c r="AN66" s="308"/>
      <c r="AO66" s="308"/>
      <c r="AP66" s="308"/>
      <c r="AQ66" s="308"/>
      <c r="AR66" s="308"/>
      <c r="AS66" s="308"/>
      <c r="AT66" s="308"/>
      <c r="AU66" s="308"/>
      <c r="AV66" s="308"/>
      <c r="AW66" s="308"/>
      <c r="AX66" s="308"/>
      <c r="AY66" s="308"/>
      <c r="AZ66" s="308"/>
      <c r="BA66" s="308"/>
      <c r="BB66" s="308"/>
      <c r="BC66" s="308"/>
      <c r="BD66" s="308"/>
      <c r="BE66" s="308"/>
      <c r="BF66" s="308"/>
      <c r="BG66" s="308"/>
      <c r="BH66" s="308"/>
      <c r="BI66" s="308"/>
      <c r="BJ66" s="308"/>
      <c r="BK66" s="308"/>
      <c r="BL66" s="308"/>
      <c r="BM66" s="308"/>
      <c r="BN66" s="308"/>
      <c r="BO66" s="308"/>
      <c r="BP66" s="308"/>
      <c r="BQ66" s="308"/>
      <c r="BR66" s="308"/>
      <c r="BS66" s="308"/>
      <c r="BT66" s="308"/>
      <c r="BU66" s="308"/>
      <c r="BV66" s="308"/>
      <c r="BW66" s="308"/>
      <c r="BX66" s="308"/>
      <c r="BY66" s="308"/>
      <c r="BZ66" s="308"/>
      <c r="CA66" s="308"/>
      <c r="CB66" s="308"/>
      <c r="CC66" s="308"/>
      <c r="CD66" s="308"/>
      <c r="CE66" s="308"/>
      <c r="CF66" s="308"/>
      <c r="CG66" s="308"/>
      <c r="CH66" s="308"/>
      <c r="CI66" s="308"/>
      <c r="CJ66" s="308"/>
      <c r="CK66" s="308"/>
      <c r="CL66" s="308"/>
      <c r="CM66" s="308"/>
      <c r="CN66" s="308"/>
      <c r="CO66" s="308"/>
      <c r="CP66" s="308"/>
      <c r="CQ66" s="308"/>
      <c r="CR66" s="308"/>
      <c r="CS66" s="308"/>
      <c r="CT66" s="308"/>
      <c r="CU66" s="308"/>
      <c r="CV66" s="308"/>
      <c r="CW66" s="308"/>
      <c r="CX66" s="308"/>
      <c r="CY66" s="308"/>
      <c r="CZ66" s="308"/>
      <c r="DA66" s="308"/>
      <c r="DB66" s="308"/>
      <c r="DC66" s="308"/>
      <c r="DD66" s="308"/>
      <c r="DE66" s="308"/>
      <c r="DF66" s="308"/>
      <c r="DG66" s="308"/>
      <c r="DH66" s="308"/>
      <c r="DI66" s="308"/>
      <c r="DJ66" s="308"/>
      <c r="DK66" s="308"/>
      <c r="DL66" s="308"/>
      <c r="DM66" s="308"/>
      <c r="DN66" s="308"/>
      <c r="DO66" s="308"/>
      <c r="DP66" s="308"/>
      <c r="DQ66" s="308"/>
      <c r="DR66" s="308"/>
      <c r="DS66" s="308"/>
      <c r="DT66" s="308"/>
      <c r="DU66" s="308"/>
      <c r="DV66" s="308"/>
      <c r="DW66" s="308"/>
      <c r="DX66" s="308"/>
      <c r="DY66" s="308"/>
      <c r="DZ66" s="308"/>
      <c r="EA66" s="308"/>
      <c r="EB66" s="308"/>
      <c r="EC66" s="308"/>
      <c r="ED66" s="308"/>
      <c r="EE66" s="308"/>
      <c r="EF66" s="308"/>
      <c r="EG66" s="308"/>
      <c r="EH66" s="308"/>
      <c r="EI66" s="308"/>
      <c r="EJ66" s="308"/>
      <c r="EK66" s="308"/>
      <c r="EL66" s="308"/>
      <c r="EM66" s="308"/>
      <c r="EN66" s="308"/>
      <c r="EO66" s="308"/>
      <c r="EP66" s="308"/>
      <c r="EQ66" s="308"/>
      <c r="ER66" s="308"/>
      <c r="ES66" s="308"/>
      <c r="ET66" s="308"/>
      <c r="EU66" s="308"/>
      <c r="EV66" s="308"/>
      <c r="EW66" s="308"/>
      <c r="EX66" s="308"/>
      <c r="EY66" s="308"/>
      <c r="EZ66" s="308"/>
      <c r="FA66" s="308"/>
    </row>
    <row r="67" spans="1:157" ht="44.25" customHeight="1">
      <c r="A67" s="169" t="s">
        <v>1486</v>
      </c>
      <c r="B67" s="309" t="s">
        <v>1488</v>
      </c>
      <c r="D67" s="861" t="s">
        <v>1111</v>
      </c>
      <c r="E67" s="861"/>
      <c r="F67" s="861"/>
      <c r="G67" s="308"/>
      <c r="H67" s="314"/>
      <c r="I67" s="303"/>
      <c r="J67" s="311"/>
      <c r="K67" s="303"/>
      <c r="L67" s="303"/>
      <c r="M67" s="303"/>
      <c r="N67" s="308"/>
      <c r="O67" s="308"/>
      <c r="P67" s="308"/>
      <c r="Q67" s="308"/>
      <c r="R67" s="308"/>
      <c r="S67" s="308"/>
      <c r="T67" s="308"/>
      <c r="U67" s="308"/>
      <c r="V67" s="308"/>
      <c r="W67" s="308" t="s">
        <v>1048</v>
      </c>
      <c r="X67" s="308">
        <v>1.1000000000000001</v>
      </c>
      <c r="Y67" s="308"/>
      <c r="Z67" s="308"/>
      <c r="AA67" s="308"/>
      <c r="AB67" s="308"/>
      <c r="AC67" s="308"/>
      <c r="AD67" s="308"/>
      <c r="AE67" s="308"/>
      <c r="AF67" s="308"/>
      <c r="AG67" s="308"/>
      <c r="AH67" s="308"/>
      <c r="AI67" s="308"/>
      <c r="AJ67" s="308"/>
      <c r="AK67" s="308"/>
      <c r="AL67" s="308"/>
      <c r="AM67" s="308"/>
      <c r="AN67" s="308"/>
      <c r="AO67" s="308"/>
      <c r="AP67" s="308"/>
      <c r="AQ67" s="308"/>
      <c r="AR67" s="308"/>
      <c r="AS67" s="308"/>
      <c r="AT67" s="308"/>
      <c r="AU67" s="308"/>
      <c r="AV67" s="308"/>
      <c r="AW67" s="308"/>
      <c r="AX67" s="308"/>
      <c r="AY67" s="308"/>
      <c r="AZ67" s="308"/>
      <c r="BA67" s="308"/>
      <c r="BB67" s="308"/>
      <c r="BC67" s="308"/>
      <c r="BD67" s="308"/>
      <c r="BE67" s="308"/>
      <c r="BF67" s="308"/>
      <c r="BG67" s="308"/>
      <c r="BH67" s="308"/>
      <c r="BI67" s="308"/>
      <c r="BJ67" s="308"/>
      <c r="BK67" s="308"/>
      <c r="BL67" s="308"/>
      <c r="BM67" s="308"/>
      <c r="BN67" s="308"/>
      <c r="BO67" s="308"/>
      <c r="BP67" s="308"/>
      <c r="BQ67" s="308"/>
      <c r="BR67" s="308"/>
      <c r="BS67" s="308"/>
      <c r="BT67" s="308"/>
      <c r="BU67" s="308"/>
      <c r="BV67" s="308"/>
      <c r="BW67" s="308"/>
      <c r="BX67" s="308"/>
      <c r="BY67" s="308"/>
      <c r="BZ67" s="308"/>
      <c r="CA67" s="308"/>
      <c r="CB67" s="308"/>
      <c r="CC67" s="308"/>
      <c r="CD67" s="308"/>
      <c r="CE67" s="308"/>
      <c r="CF67" s="308"/>
      <c r="CG67" s="308"/>
      <c r="CH67" s="308"/>
      <c r="CI67" s="308"/>
      <c r="CJ67" s="308"/>
      <c r="CK67" s="308"/>
      <c r="CL67" s="308"/>
      <c r="CM67" s="308"/>
      <c r="CN67" s="308"/>
      <c r="CO67" s="308"/>
      <c r="CP67" s="308"/>
      <c r="CQ67" s="308"/>
      <c r="CR67" s="308"/>
      <c r="CS67" s="308"/>
      <c r="CT67" s="308"/>
      <c r="CU67" s="308"/>
      <c r="CV67" s="308"/>
      <c r="CW67" s="308"/>
      <c r="CX67" s="308"/>
      <c r="CY67" s="308"/>
      <c r="CZ67" s="308"/>
      <c r="DA67" s="308"/>
      <c r="DB67" s="308"/>
      <c r="DC67" s="308"/>
      <c r="DD67" s="308"/>
      <c r="DE67" s="308"/>
      <c r="DF67" s="308"/>
      <c r="DG67" s="308"/>
      <c r="DH67" s="308"/>
      <c r="DI67" s="308"/>
      <c r="DJ67" s="308"/>
      <c r="DK67" s="308"/>
      <c r="DL67" s="308"/>
      <c r="DM67" s="308"/>
      <c r="DN67" s="308"/>
      <c r="DO67" s="308"/>
      <c r="DP67" s="308"/>
      <c r="DQ67" s="308"/>
      <c r="DR67" s="308"/>
      <c r="DS67" s="308"/>
      <c r="DT67" s="308"/>
      <c r="DU67" s="308"/>
      <c r="DV67" s="308"/>
      <c r="DW67" s="308"/>
      <c r="DX67" s="308"/>
      <c r="DY67" s="308"/>
      <c r="DZ67" s="308"/>
      <c r="EA67" s="308"/>
      <c r="EB67" s="308"/>
      <c r="EC67" s="308"/>
      <c r="ED67" s="308"/>
      <c r="EE67" s="308"/>
      <c r="EF67" s="308"/>
      <c r="EG67" s="308"/>
      <c r="EH67" s="308"/>
      <c r="EI67" s="308"/>
      <c r="EJ67" s="308"/>
      <c r="EK67" s="308"/>
      <c r="EL67" s="308"/>
      <c r="EM67" s="308"/>
      <c r="EN67" s="308"/>
      <c r="EO67" s="308"/>
      <c r="EP67" s="308"/>
      <c r="EQ67" s="308"/>
      <c r="ER67" s="308"/>
      <c r="ES67" s="308"/>
      <c r="ET67" s="308"/>
      <c r="EU67" s="308"/>
      <c r="EV67" s="308"/>
      <c r="EW67" s="308"/>
      <c r="EX67" s="308"/>
      <c r="EY67" s="308"/>
      <c r="EZ67" s="308"/>
      <c r="FA67" s="308"/>
    </row>
    <row r="68" spans="1:157" ht="30" customHeight="1">
      <c r="A68" s="169" t="s">
        <v>1112</v>
      </c>
      <c r="B68" s="315" t="s">
        <v>995</v>
      </c>
      <c r="D68" s="860" t="s">
        <v>1052</v>
      </c>
      <c r="E68" s="860"/>
      <c r="F68" s="860"/>
      <c r="G68" s="308"/>
      <c r="H68" s="314"/>
      <c r="I68" s="303"/>
      <c r="J68" s="311"/>
      <c r="K68" s="303"/>
      <c r="L68" s="303"/>
      <c r="M68" s="303"/>
      <c r="N68" s="308"/>
      <c r="O68" s="308"/>
      <c r="P68" s="308"/>
      <c r="Q68" s="308"/>
      <c r="R68" s="308"/>
      <c r="S68" s="308"/>
      <c r="T68" s="308"/>
      <c r="U68" s="308"/>
      <c r="V68" s="308"/>
      <c r="W68" s="308"/>
      <c r="X68" s="308"/>
      <c r="Y68" s="308"/>
      <c r="Z68" s="308"/>
      <c r="AA68" s="308"/>
      <c r="AB68" s="308"/>
      <c r="AC68" s="308"/>
      <c r="AD68" s="308"/>
      <c r="AE68" s="308"/>
      <c r="AF68" s="308"/>
      <c r="AG68" s="308"/>
      <c r="AH68" s="308"/>
      <c r="AI68" s="308"/>
      <c r="AJ68" s="308"/>
      <c r="AK68" s="308"/>
      <c r="AL68" s="308"/>
      <c r="AM68" s="308"/>
      <c r="AN68" s="308"/>
      <c r="AO68" s="308"/>
      <c r="AP68" s="308"/>
      <c r="AQ68" s="308"/>
      <c r="AR68" s="308"/>
      <c r="AS68" s="308"/>
      <c r="AT68" s="308"/>
      <c r="AU68" s="308"/>
      <c r="AV68" s="308"/>
      <c r="AW68" s="308"/>
      <c r="AX68" s="308"/>
      <c r="AY68" s="308"/>
      <c r="AZ68" s="308"/>
      <c r="BA68" s="308"/>
      <c r="BB68" s="308"/>
      <c r="BC68" s="308"/>
      <c r="BD68" s="308"/>
      <c r="BE68" s="308"/>
      <c r="BF68" s="308"/>
      <c r="BG68" s="308"/>
      <c r="BH68" s="308"/>
      <c r="BI68" s="308"/>
      <c r="BJ68" s="308"/>
      <c r="BK68" s="308"/>
      <c r="BL68" s="308"/>
      <c r="BM68" s="308"/>
      <c r="BN68" s="308"/>
      <c r="BO68" s="308"/>
      <c r="BP68" s="308"/>
      <c r="BQ68" s="308"/>
      <c r="BR68" s="308"/>
      <c r="BS68" s="308"/>
      <c r="BT68" s="308"/>
      <c r="BU68" s="308"/>
      <c r="BV68" s="308"/>
      <c r="BW68" s="308"/>
      <c r="BX68" s="308"/>
      <c r="BY68" s="308"/>
      <c r="BZ68" s="308"/>
      <c r="CA68" s="308"/>
      <c r="CB68" s="308"/>
      <c r="CC68" s="308"/>
      <c r="CD68" s="308"/>
      <c r="CE68" s="308"/>
      <c r="CF68" s="308"/>
      <c r="CG68" s="308"/>
      <c r="CH68" s="308"/>
      <c r="CI68" s="308"/>
      <c r="CJ68" s="308"/>
      <c r="CK68" s="308"/>
      <c r="CL68" s="308"/>
      <c r="CM68" s="308"/>
      <c r="CN68" s="308"/>
      <c r="CO68" s="308"/>
      <c r="CP68" s="308"/>
      <c r="CQ68" s="308"/>
      <c r="CR68" s="308"/>
      <c r="CS68" s="308"/>
      <c r="CT68" s="308"/>
      <c r="CU68" s="308"/>
      <c r="CV68" s="308"/>
      <c r="CW68" s="308"/>
      <c r="CX68" s="308"/>
      <c r="CY68" s="308"/>
      <c r="CZ68" s="308"/>
      <c r="DA68" s="308"/>
      <c r="DB68" s="308"/>
      <c r="DC68" s="308"/>
      <c r="DD68" s="308"/>
      <c r="DE68" s="308"/>
      <c r="DF68" s="308"/>
      <c r="DG68" s="308"/>
      <c r="DH68" s="308"/>
      <c r="DI68" s="308"/>
      <c r="DJ68" s="308"/>
      <c r="DK68" s="308"/>
      <c r="DL68" s="308"/>
      <c r="DM68" s="308"/>
      <c r="DN68" s="308"/>
      <c r="DO68" s="308"/>
      <c r="DP68" s="308"/>
      <c r="DQ68" s="308"/>
      <c r="DR68" s="308"/>
      <c r="DS68" s="308"/>
      <c r="DT68" s="308"/>
      <c r="DU68" s="308"/>
      <c r="DV68" s="308"/>
      <c r="DW68" s="308"/>
      <c r="DX68" s="308"/>
      <c r="DY68" s="308"/>
      <c r="DZ68" s="308"/>
      <c r="EA68" s="308"/>
      <c r="EB68" s="308"/>
      <c r="EC68" s="308"/>
      <c r="ED68" s="308"/>
      <c r="EE68" s="308"/>
      <c r="EF68" s="308"/>
      <c r="EG68" s="308"/>
      <c r="EH68" s="308"/>
      <c r="EI68" s="308"/>
      <c r="EJ68" s="308"/>
      <c r="EK68" s="308"/>
      <c r="EL68" s="308"/>
      <c r="EM68" s="308"/>
      <c r="EN68" s="308"/>
      <c r="EO68" s="308"/>
      <c r="EP68" s="308"/>
      <c r="EQ68" s="308"/>
      <c r="ER68" s="308"/>
      <c r="ES68" s="308"/>
      <c r="ET68" s="308"/>
      <c r="EU68" s="308"/>
      <c r="EV68" s="308"/>
      <c r="EW68" s="308"/>
      <c r="EX68" s="308"/>
      <c r="EY68" s="308"/>
      <c r="EZ68" s="308"/>
      <c r="FA68" s="308"/>
    </row>
    <row r="69" spans="1:157" ht="30" customHeight="1">
      <c r="A69" s="332" t="s">
        <v>1113</v>
      </c>
      <c r="B69" s="493">
        <f>IF(SH!I39=1,'ER1'!N18,'ER2'!S27)</f>
        <v>2488.6104499012713</v>
      </c>
      <c r="C69" s="167" t="s">
        <v>392</v>
      </c>
      <c r="D69" s="856" t="s">
        <v>1114</v>
      </c>
      <c r="E69" s="856"/>
      <c r="F69" s="856"/>
      <c r="H69" s="314"/>
      <c r="I69" s="303"/>
      <c r="J69" s="311"/>
      <c r="K69" s="303"/>
      <c r="L69" s="303"/>
      <c r="M69" s="303"/>
      <c r="N69" s="308"/>
      <c r="O69" s="308"/>
      <c r="P69" s="308"/>
      <c r="Q69" s="308"/>
      <c r="R69" s="308"/>
      <c r="S69" s="308"/>
      <c r="T69" s="308"/>
      <c r="U69" s="308"/>
      <c r="V69" s="308"/>
      <c r="W69" s="308"/>
      <c r="X69" s="308"/>
      <c r="Y69" s="308"/>
      <c r="Z69" s="308"/>
      <c r="AA69" s="308"/>
      <c r="AB69" s="308"/>
      <c r="AC69" s="308"/>
      <c r="AD69" s="308"/>
      <c r="AE69" s="308"/>
      <c r="AF69" s="308"/>
      <c r="AG69" s="308"/>
      <c r="AH69" s="308"/>
      <c r="AI69" s="308"/>
      <c r="AJ69" s="308"/>
      <c r="AK69" s="308"/>
      <c r="AL69" s="308"/>
      <c r="AM69" s="308"/>
      <c r="AN69" s="308"/>
      <c r="AO69" s="308"/>
      <c r="AP69" s="308"/>
      <c r="AQ69" s="308"/>
      <c r="AR69" s="308"/>
      <c r="AS69" s="308"/>
      <c r="AT69" s="308"/>
      <c r="AU69" s="308"/>
      <c r="AV69" s="308"/>
      <c r="AW69" s="308"/>
      <c r="AX69" s="308"/>
      <c r="AY69" s="308"/>
      <c r="AZ69" s="308"/>
      <c r="BA69" s="308"/>
      <c r="BB69" s="308"/>
      <c r="BC69" s="308"/>
      <c r="BD69" s="308"/>
      <c r="BE69" s="308"/>
      <c r="BF69" s="308"/>
      <c r="BG69" s="308"/>
      <c r="BH69" s="308"/>
      <c r="BI69" s="308"/>
      <c r="BJ69" s="308"/>
      <c r="BK69" s="308"/>
      <c r="BL69" s="308"/>
      <c r="BM69" s="308"/>
      <c r="BN69" s="308"/>
      <c r="BO69" s="308"/>
      <c r="BP69" s="308"/>
      <c r="BQ69" s="308"/>
      <c r="BR69" s="308"/>
      <c r="BS69" s="308"/>
      <c r="BT69" s="308"/>
      <c r="BU69" s="308"/>
      <c r="BV69" s="308"/>
      <c r="BW69" s="308"/>
      <c r="BX69" s="308"/>
      <c r="BY69" s="308"/>
      <c r="BZ69" s="308"/>
      <c r="CA69" s="308"/>
      <c r="CB69" s="308"/>
      <c r="CC69" s="308"/>
      <c r="CD69" s="308"/>
      <c r="CE69" s="308"/>
      <c r="CF69" s="308"/>
      <c r="CG69" s="308"/>
      <c r="CH69" s="308"/>
      <c r="CI69" s="308"/>
      <c r="CJ69" s="308"/>
      <c r="CK69" s="308"/>
      <c r="CL69" s="308"/>
      <c r="CM69" s="308"/>
      <c r="CN69" s="308"/>
      <c r="CO69" s="308"/>
      <c r="CP69" s="308"/>
      <c r="CQ69" s="308"/>
      <c r="CR69" s="308"/>
      <c r="CS69" s="308"/>
      <c r="CT69" s="308"/>
      <c r="CU69" s="308"/>
      <c r="CV69" s="308"/>
      <c r="CW69" s="308"/>
      <c r="CX69" s="308"/>
      <c r="CY69" s="308"/>
      <c r="CZ69" s="308"/>
      <c r="DA69" s="308"/>
      <c r="DB69" s="308"/>
      <c r="DC69" s="308"/>
      <c r="DD69" s="308"/>
      <c r="DE69" s="308"/>
      <c r="DF69" s="308"/>
      <c r="DG69" s="308"/>
      <c r="DH69" s="308"/>
      <c r="DI69" s="308"/>
      <c r="DJ69" s="308"/>
      <c r="DK69" s="308"/>
      <c r="DL69" s="308"/>
      <c r="DM69" s="308"/>
      <c r="DN69" s="308"/>
      <c r="DO69" s="308"/>
      <c r="DP69" s="308"/>
      <c r="DQ69" s="308"/>
      <c r="DR69" s="308"/>
      <c r="DS69" s="308"/>
      <c r="DT69" s="308"/>
      <c r="DU69" s="308"/>
      <c r="DV69" s="308"/>
      <c r="DW69" s="308"/>
      <c r="DX69" s="308"/>
      <c r="DY69" s="308"/>
      <c r="DZ69" s="308"/>
      <c r="EA69" s="308"/>
      <c r="EB69" s="308"/>
      <c r="EC69" s="308"/>
      <c r="ED69" s="308"/>
      <c r="EE69" s="308"/>
      <c r="EF69" s="308"/>
      <c r="EG69" s="308"/>
      <c r="EH69" s="308"/>
      <c r="EI69" s="308"/>
      <c r="EJ69" s="308"/>
      <c r="EK69" s="308"/>
      <c r="EL69" s="308"/>
      <c r="EM69" s="308"/>
      <c r="EN69" s="308"/>
      <c r="EO69" s="308"/>
      <c r="EP69" s="308"/>
      <c r="EQ69" s="308"/>
      <c r="ER69" s="308"/>
      <c r="ES69" s="308"/>
      <c r="ET69" s="308"/>
      <c r="EU69" s="308"/>
      <c r="EV69" s="308"/>
      <c r="EW69" s="308"/>
      <c r="EX69" s="308"/>
      <c r="EY69" s="308"/>
      <c r="EZ69" s="308"/>
      <c r="FA69" s="308"/>
    </row>
    <row r="70" spans="1:157" ht="30.75" customHeight="1">
      <c r="A70" s="333" t="s">
        <v>1115</v>
      </c>
      <c r="B70" s="309" t="s">
        <v>1011</v>
      </c>
      <c r="D70" s="856" t="s">
        <v>1116</v>
      </c>
      <c r="E70" s="856"/>
      <c r="F70" s="856"/>
      <c r="H70" s="314"/>
      <c r="I70" s="303"/>
      <c r="J70" s="331"/>
      <c r="K70" s="330"/>
      <c r="L70" s="330"/>
      <c r="M70" s="330"/>
      <c r="O70" s="326"/>
      <c r="P70" s="308"/>
    </row>
    <row r="71" spans="1:157" ht="31.5" customHeight="1">
      <c r="A71" s="336" t="s">
        <v>1117</v>
      </c>
      <c r="B71" s="337">
        <v>10</v>
      </c>
      <c r="C71" s="327" t="s">
        <v>1054</v>
      </c>
      <c r="D71" s="856" t="s">
        <v>1118</v>
      </c>
      <c r="E71" s="856"/>
      <c r="F71" s="856"/>
      <c r="G71" s="326"/>
      <c r="H71" s="329"/>
      <c r="I71" s="334"/>
      <c r="J71" s="331"/>
      <c r="K71" s="330"/>
      <c r="L71" s="330"/>
      <c r="M71" s="330"/>
      <c r="O71" s="308"/>
      <c r="P71" s="308"/>
    </row>
    <row r="72" spans="1:157" ht="31.5" customHeight="1">
      <c r="A72" s="336" t="s">
        <v>1119</v>
      </c>
      <c r="B72" s="335">
        <f>IF(OR(B70="No Hot Water Store",B70="Integral Hot Water Storage"),60,65)</f>
        <v>65</v>
      </c>
      <c r="C72" s="327" t="s">
        <v>1054</v>
      </c>
      <c r="D72" s="856" t="s">
        <v>1120</v>
      </c>
      <c r="E72" s="856"/>
      <c r="F72" s="856"/>
      <c r="G72" s="326"/>
      <c r="H72" s="329" t="s">
        <v>2</v>
      </c>
      <c r="I72" s="330"/>
      <c r="J72" s="331"/>
      <c r="K72" s="303"/>
      <c r="L72" s="303"/>
      <c r="M72" s="303"/>
      <c r="O72" s="308"/>
      <c r="P72" s="308"/>
      <c r="U72" s="341"/>
      <c r="V72" s="341"/>
      <c r="W72" s="341"/>
    </row>
    <row r="73" spans="1:157" ht="31.5" customHeight="1">
      <c r="A73" s="333" t="s">
        <v>1121</v>
      </c>
      <c r="B73" s="495">
        <f>cylVol</f>
        <v>120</v>
      </c>
      <c r="C73" s="167" t="s">
        <v>374</v>
      </c>
      <c r="D73" s="856" t="s">
        <v>1122</v>
      </c>
      <c r="E73" s="856"/>
      <c r="F73" s="856"/>
      <c r="H73" s="329"/>
      <c r="I73" s="330"/>
      <c r="J73" s="331"/>
      <c r="K73" s="330"/>
      <c r="L73" s="330"/>
      <c r="M73" s="330"/>
      <c r="N73" s="326"/>
      <c r="O73" s="308"/>
      <c r="P73" s="308"/>
      <c r="Q73" s="326"/>
      <c r="R73" s="326"/>
      <c r="S73" s="326"/>
      <c r="T73" s="326"/>
      <c r="U73" s="326"/>
      <c r="V73" s="326"/>
      <c r="W73" s="326"/>
      <c r="X73" s="326"/>
      <c r="Y73" s="326"/>
      <c r="Z73" s="326"/>
      <c r="AA73" s="326"/>
      <c r="AB73" s="326"/>
      <c r="AC73" s="326"/>
      <c r="AD73" s="326"/>
      <c r="AE73" s="326"/>
      <c r="AF73" s="326"/>
      <c r="AG73" s="326"/>
      <c r="AH73" s="326"/>
      <c r="AI73" s="326"/>
      <c r="AJ73" s="326"/>
      <c r="AK73" s="326"/>
      <c r="AL73" s="326"/>
      <c r="AM73" s="326"/>
      <c r="AN73" s="326"/>
      <c r="AO73" s="326"/>
    </row>
    <row r="74" spans="1:157" ht="30" customHeight="1">
      <c r="A74" s="340" t="s">
        <v>1123</v>
      </c>
      <c r="B74" s="342" t="s">
        <v>99</v>
      </c>
      <c r="D74" s="861" t="s">
        <v>1082</v>
      </c>
      <c r="E74" s="861"/>
      <c r="F74" s="861"/>
      <c r="H74" s="329"/>
      <c r="I74" s="330"/>
      <c r="J74" s="331"/>
      <c r="K74" s="303"/>
      <c r="L74" s="303"/>
      <c r="M74" s="303"/>
    </row>
    <row r="75" spans="1:157" ht="30" customHeight="1">
      <c r="A75" s="333" t="s">
        <v>1124</v>
      </c>
      <c r="B75" s="338" t="s">
        <v>637</v>
      </c>
      <c r="D75" s="861" t="s">
        <v>1082</v>
      </c>
      <c r="E75" s="861"/>
      <c r="F75" s="861"/>
      <c r="H75" s="329"/>
      <c r="I75" s="330"/>
      <c r="J75" s="331"/>
      <c r="K75" s="303"/>
      <c r="L75" s="303"/>
      <c r="M75" s="303"/>
    </row>
    <row r="76" spans="1:157" ht="30" customHeight="1">
      <c r="A76" s="333" t="s">
        <v>1125</v>
      </c>
      <c r="B76" s="335">
        <f>VLOOKUP(B75,W2:X12,2,)</f>
        <v>2.08</v>
      </c>
      <c r="H76" s="329"/>
      <c r="I76" s="330"/>
      <c r="J76" s="331"/>
      <c r="K76" s="330"/>
      <c r="L76" s="330"/>
      <c r="M76" s="330"/>
      <c r="O76" s="326"/>
      <c r="P76" s="308"/>
      <c r="U76" s="326"/>
      <c r="V76" s="326"/>
      <c r="W76" s="326"/>
    </row>
    <row r="77" spans="1:157" ht="83.25" customHeight="1">
      <c r="A77" s="336" t="s">
        <v>1126</v>
      </c>
      <c r="B77" s="310">
        <v>1</v>
      </c>
      <c r="C77" s="167" t="s">
        <v>1029</v>
      </c>
      <c r="D77" s="861" t="s">
        <v>1086</v>
      </c>
      <c r="E77" s="861"/>
      <c r="F77" s="861"/>
      <c r="H77" s="329"/>
      <c r="I77" s="330"/>
      <c r="J77" s="331"/>
      <c r="K77" s="330"/>
      <c r="L77" s="330"/>
      <c r="M77" s="330"/>
      <c r="N77" s="326"/>
      <c r="O77" s="326"/>
      <c r="P77" s="308"/>
      <c r="Q77" s="326"/>
      <c r="R77" s="326"/>
      <c r="S77" s="326"/>
      <c r="T77" s="326"/>
      <c r="U77" s="326"/>
      <c r="V77" s="326"/>
      <c r="W77" s="326"/>
      <c r="X77" s="326"/>
      <c r="Y77" s="326"/>
      <c r="Z77" s="326"/>
      <c r="AA77" s="326"/>
      <c r="AB77" s="326"/>
      <c r="AC77" s="326"/>
      <c r="AD77" s="326"/>
      <c r="AE77" s="326"/>
      <c r="AF77" s="326"/>
      <c r="AG77" s="326"/>
      <c r="AH77" s="326"/>
      <c r="AI77" s="326"/>
      <c r="AJ77" s="326"/>
      <c r="AK77" s="326"/>
      <c r="AL77" s="326"/>
      <c r="AM77" s="326"/>
      <c r="AN77" s="326"/>
      <c r="AO77" s="326"/>
    </row>
    <row r="78" spans="1:157" s="326" customFormat="1" ht="29.25" customHeight="1">
      <c r="A78" s="340" t="s">
        <v>1127</v>
      </c>
      <c r="B78" s="343">
        <f>IF(B74="Yes",(X2/B76)*B77,1)</f>
        <v>1</v>
      </c>
      <c r="D78" s="168"/>
      <c r="E78" s="168"/>
      <c r="F78" s="168"/>
      <c r="H78" s="329"/>
      <c r="I78" s="330"/>
      <c r="J78" s="331"/>
      <c r="K78" s="303"/>
      <c r="L78" s="303"/>
      <c r="M78" s="303"/>
      <c r="P78" s="308"/>
      <c r="U78" s="167"/>
      <c r="V78" s="167"/>
      <c r="W78" s="167"/>
    </row>
    <row r="79" spans="1:157" ht="31.5" customHeight="1">
      <c r="A79" s="345"/>
      <c r="B79" s="346"/>
      <c r="C79" s="345"/>
      <c r="D79" s="168"/>
      <c r="E79" s="168"/>
      <c r="F79" s="168"/>
      <c r="G79" s="326"/>
      <c r="H79" s="329"/>
      <c r="I79" s="330"/>
      <c r="J79" s="331"/>
      <c r="K79" s="330"/>
      <c r="L79" s="330"/>
      <c r="M79" s="330"/>
      <c r="O79" s="308"/>
      <c r="P79" s="308"/>
    </row>
    <row r="80" spans="1:157" ht="30.75" customHeight="1" thickBot="1">
      <c r="A80" s="352" t="s">
        <v>1128</v>
      </c>
      <c r="H80" s="329"/>
      <c r="I80" s="330"/>
      <c r="J80" s="393"/>
      <c r="K80" s="388"/>
      <c r="L80" s="388"/>
      <c r="M80" s="388"/>
      <c r="N80" s="308"/>
      <c r="O80" s="308"/>
      <c r="P80" s="308"/>
      <c r="Q80" s="308"/>
      <c r="R80" s="308"/>
      <c r="S80" s="308"/>
      <c r="T80" s="308"/>
      <c r="U80" s="326"/>
    </row>
    <row r="81" spans="1:21" ht="30.75" customHeight="1">
      <c r="A81" s="405" t="s">
        <v>1129</v>
      </c>
      <c r="B81" s="307" t="s">
        <v>1130</v>
      </c>
      <c r="C81" s="167" t="s">
        <v>2</v>
      </c>
      <c r="D81" s="860" t="s">
        <v>1131</v>
      </c>
      <c r="E81" s="860"/>
      <c r="F81" s="860"/>
      <c r="H81" s="329"/>
      <c r="I81" s="330"/>
      <c r="J81" s="386"/>
      <c r="K81" s="378"/>
      <c r="L81" s="378"/>
      <c r="M81" s="378"/>
      <c r="N81" s="308"/>
      <c r="O81" s="308"/>
      <c r="P81" s="308"/>
      <c r="Q81" s="308"/>
      <c r="R81" s="308"/>
      <c r="S81" s="308"/>
      <c r="T81" s="308"/>
      <c r="U81" s="308"/>
    </row>
    <row r="82" spans="1:21" ht="30.75" customHeight="1">
      <c r="A82" s="403" t="str">
        <f>B81</f>
        <v>Water heating energy efficiency, ηwh</v>
      </c>
      <c r="B82" s="402">
        <v>0</v>
      </c>
      <c r="C82" s="167" t="str">
        <f>IF(B81="Coefficient of Performance, COP","kW/kW","%")</f>
        <v>%</v>
      </c>
      <c r="D82" s="860" t="s">
        <v>1131</v>
      </c>
      <c r="E82" s="860"/>
      <c r="F82" s="860"/>
      <c r="H82" s="329"/>
      <c r="I82" s="330"/>
      <c r="J82" s="390"/>
      <c r="K82" s="371"/>
      <c r="L82" s="371"/>
      <c r="M82" s="371"/>
      <c r="N82" s="308"/>
      <c r="O82" s="308"/>
      <c r="P82" s="308"/>
      <c r="Q82" s="308"/>
      <c r="R82" s="308"/>
      <c r="S82" s="308"/>
      <c r="T82" s="308"/>
      <c r="U82" s="308"/>
    </row>
    <row r="83" spans="1:21" ht="30.75" customHeight="1">
      <c r="A83" s="406" t="s">
        <v>1132</v>
      </c>
      <c r="B83" s="407">
        <f>IF(B81="Coefficient of Performance, COP",B82,B82*2.5/100)</f>
        <v>0</v>
      </c>
      <c r="C83" s="167" t="s">
        <v>1133</v>
      </c>
      <c r="H83" s="329"/>
      <c r="I83" s="330"/>
      <c r="J83" s="393"/>
      <c r="K83" s="388"/>
      <c r="L83" s="388"/>
      <c r="M83" s="388"/>
      <c r="N83" s="308"/>
      <c r="O83" s="308"/>
      <c r="P83" s="308"/>
      <c r="Q83" s="308"/>
      <c r="R83" s="308"/>
      <c r="S83" s="308"/>
      <c r="T83" s="308"/>
      <c r="U83" s="308"/>
    </row>
    <row r="84" spans="1:21" ht="30.75" customHeight="1">
      <c r="A84" s="403" t="s">
        <v>1134</v>
      </c>
      <c r="B84" s="402">
        <v>0</v>
      </c>
      <c r="C84" s="327" t="s">
        <v>1054</v>
      </c>
      <c r="D84" s="860" t="s">
        <v>1135</v>
      </c>
      <c r="E84" s="860"/>
      <c r="F84" s="860"/>
      <c r="H84" s="329"/>
      <c r="I84" s="330"/>
      <c r="J84" s="393"/>
      <c r="K84" s="388"/>
      <c r="L84" s="388"/>
      <c r="M84" s="388"/>
      <c r="N84" s="308"/>
      <c r="O84" s="308"/>
      <c r="P84" s="308"/>
      <c r="Q84" s="308"/>
      <c r="R84" s="308"/>
      <c r="S84" s="308"/>
      <c r="T84" s="308"/>
      <c r="U84" s="326"/>
    </row>
    <row r="85" spans="1:21" ht="30.75" customHeight="1">
      <c r="A85" s="403" t="s">
        <v>1136</v>
      </c>
      <c r="B85" s="408">
        <f>IF(B12="Air to Water",7,IF(B12="Water to Water",10,IF(B12="Exhaust Air to Water",20,0)))</f>
        <v>7</v>
      </c>
      <c r="C85" s="327" t="s">
        <v>1054</v>
      </c>
      <c r="D85" s="860" t="s">
        <v>1137</v>
      </c>
      <c r="E85" s="860"/>
      <c r="F85" s="860"/>
      <c r="H85" s="329"/>
      <c r="I85" s="330"/>
      <c r="J85" s="393"/>
      <c r="K85" s="388"/>
      <c r="L85" s="388"/>
      <c r="M85" s="388"/>
      <c r="N85" s="308"/>
      <c r="O85" s="308"/>
      <c r="P85" s="308"/>
      <c r="Q85" s="308"/>
      <c r="R85" s="308"/>
      <c r="S85" s="308"/>
      <c r="T85" s="308"/>
      <c r="U85" s="326"/>
    </row>
    <row r="86" spans="1:21" ht="30.75" customHeight="1">
      <c r="A86" s="403" t="s">
        <v>1138</v>
      </c>
      <c r="B86" s="402">
        <v>0</v>
      </c>
      <c r="C86" s="167" t="s">
        <v>1139</v>
      </c>
      <c r="D86" s="860" t="s">
        <v>1140</v>
      </c>
      <c r="E86" s="860"/>
      <c r="F86" s="860"/>
      <c r="H86" s="329"/>
      <c r="I86" s="330"/>
      <c r="J86" s="386"/>
      <c r="K86" s="378"/>
      <c r="L86" s="378"/>
      <c r="M86" s="378"/>
      <c r="N86" s="308"/>
      <c r="O86" s="308"/>
      <c r="P86" s="308"/>
      <c r="Q86" s="308"/>
      <c r="R86" s="308"/>
      <c r="S86" s="308"/>
      <c r="T86" s="326"/>
      <c r="U86" s="308"/>
    </row>
    <row r="87" spans="1:21" ht="30.75" customHeight="1">
      <c r="A87" s="409" t="s">
        <v>1141</v>
      </c>
      <c r="B87" s="410" t="s">
        <v>1027</v>
      </c>
      <c r="D87" s="860" t="s">
        <v>1140</v>
      </c>
      <c r="E87" s="860"/>
      <c r="F87" s="860"/>
      <c r="H87" s="329"/>
      <c r="I87" s="330"/>
      <c r="J87" s="390"/>
      <c r="K87" s="371"/>
      <c r="L87" s="371"/>
      <c r="M87" s="371"/>
      <c r="N87" s="308"/>
      <c r="O87" s="308"/>
      <c r="P87" s="308"/>
      <c r="Q87" s="308"/>
      <c r="R87" s="308"/>
      <c r="S87" s="308"/>
      <c r="T87" s="326"/>
      <c r="U87" s="326"/>
    </row>
    <row r="88" spans="1:21" ht="37.5" customHeight="1">
      <c r="A88" s="409" t="s">
        <v>1142</v>
      </c>
      <c r="B88" s="410">
        <v>0</v>
      </c>
      <c r="C88" s="167" t="s">
        <v>1143</v>
      </c>
      <c r="D88" s="860" t="s">
        <v>1144</v>
      </c>
      <c r="E88" s="860"/>
      <c r="F88" s="860"/>
      <c r="H88" s="329"/>
      <c r="I88" s="330"/>
      <c r="J88" s="393"/>
      <c r="K88" s="330"/>
      <c r="L88" s="330"/>
      <c r="M88" s="330"/>
      <c r="N88" s="308"/>
      <c r="O88" s="308"/>
      <c r="P88" s="308"/>
      <c r="Q88" s="308"/>
      <c r="R88" s="308"/>
      <c r="S88" s="308"/>
      <c r="T88" s="326"/>
      <c r="U88" s="326"/>
    </row>
    <row r="89" spans="1:21" ht="33" customHeight="1" thickBot="1">
      <c r="A89" s="404" t="s">
        <v>1145</v>
      </c>
      <c r="B89" s="411">
        <v>0</v>
      </c>
      <c r="C89" s="167" t="s">
        <v>1146</v>
      </c>
      <c r="D89" s="860" t="s">
        <v>1131</v>
      </c>
      <c r="E89" s="860"/>
      <c r="F89" s="860"/>
      <c r="H89" s="329"/>
      <c r="I89" s="330"/>
      <c r="J89" s="393"/>
      <c r="K89" s="330"/>
      <c r="L89" s="330"/>
      <c r="M89" s="330"/>
      <c r="N89" s="308"/>
      <c r="O89" s="308"/>
      <c r="P89" s="308"/>
      <c r="Q89" s="308"/>
      <c r="R89" s="308"/>
      <c r="S89" s="308"/>
      <c r="T89" s="326"/>
      <c r="U89" s="326"/>
    </row>
    <row r="90" spans="1:21" ht="33" customHeight="1">
      <c r="D90" s="863" t="str">
        <f>IF(B5="Yes","NOTE: Assessor must verify that the installed storage volume is greater than used in test results",IF('DHW Calc'!U14&gt;0,'DHW Calc'!U16,IF('DHW Calc'!V14&gt;0,'DHW Calc'!V16,"")))</f>
        <v/>
      </c>
      <c r="E90" s="863"/>
      <c r="F90" s="863"/>
      <c r="H90" s="329"/>
      <c r="I90" s="330"/>
      <c r="J90" s="393"/>
      <c r="K90" s="303"/>
      <c r="L90" s="303"/>
      <c r="M90" s="303"/>
      <c r="N90" s="308"/>
      <c r="O90" s="308"/>
      <c r="P90" s="308"/>
      <c r="Q90" s="308"/>
      <c r="R90" s="308"/>
      <c r="S90" s="308"/>
      <c r="T90" s="326"/>
      <c r="U90" s="326"/>
    </row>
    <row r="91" spans="1:21" ht="30.75" customHeight="1" thickBot="1">
      <c r="A91" s="352" t="s">
        <v>1147</v>
      </c>
      <c r="H91" s="329"/>
      <c r="I91" s="330"/>
      <c r="J91" s="382"/>
      <c r="K91" s="378"/>
      <c r="L91" s="378"/>
      <c r="M91" s="378"/>
      <c r="N91" s="308"/>
      <c r="O91" s="308"/>
      <c r="P91" s="308"/>
      <c r="Q91" s="308"/>
      <c r="R91" s="308"/>
      <c r="S91" s="308"/>
      <c r="T91" s="308"/>
      <c r="U91" s="326"/>
    </row>
    <row r="92" spans="1:21" ht="30.75" customHeight="1">
      <c r="A92" s="399" t="s">
        <v>1148</v>
      </c>
      <c r="B92" s="400" t="s">
        <v>98</v>
      </c>
      <c r="H92" s="329"/>
      <c r="I92" s="330"/>
      <c r="J92" s="386"/>
      <c r="K92" s="378"/>
      <c r="L92" s="378"/>
      <c r="M92" s="378"/>
      <c r="N92" s="308"/>
      <c r="O92" s="308"/>
      <c r="P92" s="308"/>
      <c r="Q92" s="308"/>
      <c r="R92" s="308"/>
      <c r="S92" s="308"/>
      <c r="T92" s="308"/>
      <c r="U92" s="326"/>
    </row>
    <row r="93" spans="1:21" ht="30.75" customHeight="1">
      <c r="A93" s="401" t="s">
        <v>1149</v>
      </c>
      <c r="B93" s="402">
        <v>3</v>
      </c>
      <c r="C93" s="167" t="s">
        <v>1133</v>
      </c>
      <c r="D93" s="861" t="s">
        <v>1150</v>
      </c>
      <c r="E93" s="861"/>
      <c r="F93" s="861"/>
      <c r="H93" s="329"/>
      <c r="I93" s="330"/>
      <c r="J93" s="386"/>
      <c r="K93" s="378"/>
      <c r="L93" s="378"/>
      <c r="M93" s="378"/>
      <c r="N93" s="308"/>
      <c r="O93" s="308"/>
      <c r="P93" s="308"/>
      <c r="Q93" s="308"/>
      <c r="R93" s="308"/>
      <c r="S93" s="308"/>
      <c r="T93" s="308"/>
      <c r="U93" s="326"/>
    </row>
    <row r="94" spans="1:21" ht="30.75" customHeight="1">
      <c r="A94" s="403" t="s">
        <v>1151</v>
      </c>
      <c r="B94" s="384" t="s">
        <v>98</v>
      </c>
      <c r="D94" s="861" t="s">
        <v>1152</v>
      </c>
      <c r="E94" s="861"/>
      <c r="F94" s="861"/>
      <c r="H94" s="329"/>
      <c r="I94" s="330"/>
      <c r="J94" s="386"/>
      <c r="K94" s="378"/>
      <c r="L94" s="378"/>
      <c r="M94" s="378"/>
      <c r="N94" s="308"/>
      <c r="O94" s="308"/>
      <c r="P94" s="308"/>
      <c r="Q94" s="308"/>
      <c r="R94" s="308"/>
      <c r="S94" s="308"/>
      <c r="T94" s="308"/>
      <c r="U94" s="308"/>
    </row>
    <row r="95" spans="1:21" ht="30.75" customHeight="1">
      <c r="A95" s="403" t="s">
        <v>1153</v>
      </c>
      <c r="B95" s="384" t="s">
        <v>99</v>
      </c>
      <c r="C95" s="348" t="s">
        <v>2</v>
      </c>
      <c r="D95" s="861" t="s">
        <v>1152</v>
      </c>
      <c r="E95" s="861"/>
      <c r="F95" s="861"/>
      <c r="H95" s="329"/>
      <c r="I95" s="330"/>
      <c r="J95" s="390"/>
      <c r="K95" s="371"/>
      <c r="L95" s="371"/>
      <c r="M95" s="371"/>
      <c r="N95" s="308"/>
      <c r="O95" s="308"/>
      <c r="P95" s="308"/>
      <c r="Q95" s="308"/>
      <c r="R95" s="308"/>
      <c r="S95" s="308"/>
      <c r="T95" s="308"/>
      <c r="U95" s="308"/>
    </row>
    <row r="96" spans="1:21" ht="30.75" customHeight="1" thickBot="1">
      <c r="A96" s="404" t="str">
        <f>IF(B72=65,"Does heat pump reach a flow temperature of &gt;=65oC","Does heat pump reach a flow temperature of &gt;=60oC")</f>
        <v>Does heat pump reach a flow temperature of &gt;=65oC</v>
      </c>
      <c r="B96" s="398" t="s">
        <v>99</v>
      </c>
      <c r="C96" s="348" t="s">
        <v>2</v>
      </c>
      <c r="D96" s="861" t="s">
        <v>1154</v>
      </c>
      <c r="E96" s="861"/>
      <c r="F96" s="861"/>
      <c r="H96" s="329"/>
      <c r="I96" s="330"/>
      <c r="J96" s="393"/>
      <c r="K96" s="388"/>
      <c r="L96" s="388"/>
      <c r="M96" s="388"/>
      <c r="N96" s="308"/>
      <c r="O96" s="308"/>
      <c r="P96" s="308"/>
      <c r="Q96" s="308"/>
      <c r="R96" s="308"/>
      <c r="S96" s="308"/>
      <c r="T96" s="308"/>
      <c r="U96" s="326"/>
    </row>
    <row r="97" spans="1:21" ht="30.75" customHeight="1">
      <c r="H97" s="329"/>
      <c r="I97" s="330"/>
      <c r="J97" s="393"/>
      <c r="K97" s="388"/>
      <c r="L97" s="388"/>
      <c r="M97" s="388"/>
      <c r="N97" s="308"/>
      <c r="O97" s="308"/>
      <c r="P97" s="308"/>
      <c r="Q97" s="308"/>
      <c r="R97" s="308"/>
      <c r="S97" s="308"/>
      <c r="T97" s="308"/>
      <c r="U97" s="326"/>
    </row>
    <row r="98" spans="1:21" ht="33" customHeight="1">
      <c r="H98" s="329"/>
      <c r="I98" s="330"/>
      <c r="J98" s="331"/>
      <c r="K98" s="303"/>
      <c r="L98" s="303"/>
      <c r="M98" s="303"/>
      <c r="N98" s="308"/>
      <c r="O98" s="308"/>
      <c r="P98" s="308"/>
      <c r="Q98" s="308"/>
      <c r="R98" s="308"/>
      <c r="S98" s="308"/>
      <c r="T98" s="326"/>
      <c r="U98" s="326"/>
    </row>
    <row r="99" spans="1:21" ht="33" customHeight="1" thickBot="1">
      <c r="A99" s="352" t="s">
        <v>1155</v>
      </c>
      <c r="H99" s="329"/>
      <c r="I99" s="330"/>
      <c r="J99" s="331"/>
      <c r="K99" s="303"/>
      <c r="L99" s="303"/>
      <c r="M99" s="303"/>
    </row>
    <row r="100" spans="1:21" ht="33" customHeight="1">
      <c r="A100" s="405" t="s">
        <v>1156</v>
      </c>
      <c r="B100" s="412">
        <v>0</v>
      </c>
      <c r="C100" s="167" t="s">
        <v>1133</v>
      </c>
      <c r="D100" s="861" t="s">
        <v>1157</v>
      </c>
      <c r="E100" s="861"/>
      <c r="F100" s="861"/>
      <c r="H100" s="329"/>
      <c r="I100" s="330"/>
      <c r="J100" s="354"/>
      <c r="K100" s="330"/>
      <c r="L100" s="330"/>
      <c r="M100" s="303"/>
      <c r="N100" s="167" t="s">
        <v>2</v>
      </c>
    </row>
    <row r="101" spans="1:21" ht="37.5" customHeight="1">
      <c r="A101" s="403" t="s">
        <v>1134</v>
      </c>
      <c r="B101" s="402">
        <v>0</v>
      </c>
      <c r="C101" s="327" t="s">
        <v>1054</v>
      </c>
      <c r="D101" s="861" t="s">
        <v>1158</v>
      </c>
      <c r="E101" s="861"/>
      <c r="F101" s="861"/>
      <c r="H101" s="329"/>
      <c r="I101" s="330"/>
      <c r="J101" s="331"/>
      <c r="K101" s="330"/>
      <c r="L101" s="330"/>
      <c r="M101" s="330"/>
      <c r="N101" s="167" t="s">
        <v>2</v>
      </c>
    </row>
    <row r="102" spans="1:21" ht="31.5" customHeight="1" thickBot="1">
      <c r="A102" s="404" t="s">
        <v>1159</v>
      </c>
      <c r="B102" s="411">
        <v>0</v>
      </c>
      <c r="C102" s="167" t="s">
        <v>1139</v>
      </c>
      <c r="D102" s="861" t="s">
        <v>1157</v>
      </c>
      <c r="E102" s="861"/>
      <c r="F102" s="861"/>
      <c r="H102" s="329"/>
      <c r="I102" s="330"/>
      <c r="J102" s="331"/>
      <c r="K102" s="330"/>
      <c r="L102" s="330"/>
      <c r="M102" s="330"/>
    </row>
    <row r="103" spans="1:21" ht="31.5" customHeight="1" thickBot="1">
      <c r="H103" s="329"/>
      <c r="I103" s="330"/>
      <c r="J103" s="331"/>
      <c r="K103" s="330"/>
      <c r="L103" s="330"/>
      <c r="M103" s="330"/>
    </row>
    <row r="104" spans="1:21" ht="31.5" customHeight="1" thickBot="1">
      <c r="A104" s="328" t="s">
        <v>826</v>
      </c>
      <c r="B104" s="349"/>
      <c r="C104" s="349"/>
      <c r="D104" s="306"/>
      <c r="E104" s="306"/>
      <c r="F104" s="306"/>
      <c r="G104" s="306"/>
      <c r="H104" s="306"/>
      <c r="I104" s="306"/>
      <c r="J104" s="331"/>
      <c r="K104" s="330"/>
      <c r="L104" s="330"/>
      <c r="M104" s="330"/>
    </row>
    <row r="105" spans="1:21" ht="31.5" customHeight="1" thickBot="1">
      <c r="A105" s="413" t="s">
        <v>826</v>
      </c>
      <c r="H105" s="329"/>
      <c r="I105" s="330"/>
      <c r="J105" s="331"/>
      <c r="K105" s="330"/>
      <c r="L105" s="330"/>
      <c r="M105" s="330"/>
    </row>
    <row r="106" spans="1:21" ht="31.5" customHeight="1">
      <c r="A106" s="414" t="s">
        <v>1160</v>
      </c>
      <c r="B106" s="305">
        <f>IF(B14="I.S. EN 14825",IF(AN3&gt;0,"Errors present in Tool, please correct",'Heating Calc'!H71),B93)</f>
        <v>3</v>
      </c>
      <c r="C106" s="167" t="s">
        <v>1029</v>
      </c>
      <c r="D106" s="861" t="s">
        <v>1161</v>
      </c>
      <c r="E106" s="861"/>
      <c r="F106" s="861"/>
      <c r="G106" s="167" t="s">
        <v>2</v>
      </c>
      <c r="H106" s="329"/>
      <c r="I106" s="330"/>
      <c r="J106" s="331"/>
      <c r="K106" s="330"/>
      <c r="L106" s="330"/>
      <c r="M106" s="330"/>
    </row>
    <row r="107" spans="1:21" ht="31.5" customHeight="1">
      <c r="A107" s="415" t="s">
        <v>1162</v>
      </c>
      <c r="B107" s="416">
        <f>IF($B$14="I.S. EN 14825",1,IF(B25=35,1,IF(B25&lt;50,0.85,IF(B94="Yes",0.75,0.7))))</f>
        <v>0.75</v>
      </c>
      <c r="D107" s="861" t="s">
        <v>1161</v>
      </c>
      <c r="E107" s="861"/>
      <c r="F107" s="861"/>
      <c r="H107" s="329"/>
      <c r="I107" s="330"/>
      <c r="J107" s="331"/>
      <c r="K107" s="330"/>
      <c r="L107" s="330"/>
      <c r="M107" s="330"/>
    </row>
    <row r="108" spans="1:21" ht="31.5" customHeight="1">
      <c r="A108" s="415" t="s">
        <v>1163</v>
      </c>
      <c r="B108" s="304">
        <f>IF(B68="I.S. EN 16147",'DHW Calc'!B30,IF(B68="I.S. EN 255-3",'DHW Calc'!B57,'DHW Calc'!B75))</f>
        <v>1.5</v>
      </c>
      <c r="C108" s="167" t="s">
        <v>1029</v>
      </c>
      <c r="D108" s="861" t="s">
        <v>1164</v>
      </c>
      <c r="E108" s="861"/>
      <c r="F108" s="861"/>
      <c r="H108" s="329"/>
      <c r="I108" s="330"/>
      <c r="J108" s="354"/>
      <c r="K108" s="330"/>
      <c r="L108" s="330"/>
      <c r="M108" s="330"/>
    </row>
    <row r="109" spans="1:21" ht="31.5" customHeight="1" thickBot="1">
      <c r="A109" s="417" t="s">
        <v>1165</v>
      </c>
      <c r="B109" s="418">
        <f>IF(B68="I.S. EN 14511",IF(AND(B95="No",B96="Yes"),0.7,1),1)</f>
        <v>1</v>
      </c>
      <c r="D109" s="861" t="s">
        <v>1164</v>
      </c>
      <c r="E109" s="861"/>
      <c r="F109" s="861"/>
      <c r="H109" s="329"/>
      <c r="I109" s="330"/>
      <c r="J109" s="354"/>
      <c r="K109" s="330"/>
      <c r="L109" s="330"/>
      <c r="M109" s="330"/>
    </row>
    <row r="110" spans="1:21" ht="31.5" customHeight="1" thickBot="1">
      <c r="H110" s="329"/>
      <c r="I110" s="330"/>
      <c r="J110" s="354"/>
      <c r="K110" s="330"/>
      <c r="L110" s="330"/>
      <c r="M110" s="330"/>
    </row>
    <row r="111" spans="1:21" ht="31.5" customHeight="1" thickBot="1">
      <c r="A111" s="419" t="s">
        <v>1367</v>
      </c>
      <c r="B111" s="822" t="str">
        <f>IF(B5="No",IF('ER1'!I4="Exhaust Air Heat Pump",('Heating Calc'!H82)/('Heating Calc'!H79),"NA"),IF('ER2'!A26="Exhaust Air Heat Pump",('Heating Calc'!H82)/('Heating Calc'!H79),"NA"))</f>
        <v>NA</v>
      </c>
      <c r="C111" s="167" t="s">
        <v>2</v>
      </c>
      <c r="D111" s="862" t="s">
        <v>2</v>
      </c>
      <c r="E111" s="862"/>
      <c r="F111" s="862"/>
      <c r="H111" s="329"/>
      <c r="I111" s="330"/>
      <c r="J111" s="354"/>
      <c r="K111" s="330"/>
      <c r="L111" s="330"/>
      <c r="M111" s="330"/>
    </row>
    <row r="112" spans="1:21" ht="36.75" customHeight="1" thickBot="1">
      <c r="A112" s="419" t="s">
        <v>1368</v>
      </c>
      <c r="B112" s="822" t="str">
        <f>IF(B5="No",IF('ER1'!I14="Exhaust Air Heat Pump",('DHW Calc'!B38/'DHW Calc'!B32),"NA"),IF('ER2'!A27="Exhaust Air Heat Pump",('DHW Calc'!B38/'DHW Calc'!B32),"NA"))</f>
        <v>NA</v>
      </c>
      <c r="H112" s="329"/>
      <c r="I112" s="330"/>
      <c r="J112" s="331"/>
      <c r="K112" s="330"/>
      <c r="L112" s="330"/>
      <c r="M112" s="330"/>
    </row>
    <row r="113" spans="1:14">
      <c r="H113" s="329"/>
      <c r="I113" s="330"/>
      <c r="J113" s="331"/>
      <c r="K113" s="330"/>
      <c r="L113" s="330"/>
      <c r="M113" s="330"/>
    </row>
    <row r="114" spans="1:14" ht="16.5" thickBot="1">
      <c r="H114" s="329"/>
      <c r="I114" s="330"/>
      <c r="J114" s="331"/>
      <c r="K114" s="330"/>
      <c r="L114" s="330"/>
      <c r="M114" s="330"/>
    </row>
    <row r="115" spans="1:14" ht="30.75" customHeight="1">
      <c r="A115" s="414" t="s">
        <v>1401</v>
      </c>
      <c r="B115" s="744">
        <f>IF(B14="I.S. EN 14511",1,'Heating Calc'!H60/('Heating Calc'!H60+'Heating Calc'!H62))</f>
        <v>1</v>
      </c>
      <c r="C115" s="171" t="s">
        <v>1302</v>
      </c>
      <c r="D115" s="746">
        <f>IF(B14="I.S. EN 14511",IF(B5="No",B17,B17*B8/B7),'Heating Calc'!H75)</f>
        <v>2821.1538299086405</v>
      </c>
      <c r="E115" s="171" t="s">
        <v>1404</v>
      </c>
      <c r="F115" s="748">
        <f>IF(B14="I.S. EN 14511",(B106*B107)*100,'Heating Calc'!H77*100)</f>
        <v>225</v>
      </c>
      <c r="H115" s="329"/>
      <c r="I115" s="330"/>
      <c r="J115" s="331"/>
      <c r="K115" s="330"/>
      <c r="L115" s="330"/>
      <c r="M115" s="330"/>
    </row>
    <row r="116" spans="1:14" ht="30.75" customHeight="1" thickBot="1">
      <c r="A116" s="417" t="s">
        <v>1402</v>
      </c>
      <c r="B116" s="745">
        <f>IF(B68="I.S. EN 16147",1-'DHW Calc'!B17,1)</f>
        <v>1</v>
      </c>
      <c r="C116" s="171" t="s">
        <v>1403</v>
      </c>
      <c r="D116" s="747">
        <f>IF(B68="I.S. EN 16147",'DHW Calc'!B34,IF(B5="No",B69,B69*B8/B7))</f>
        <v>2488.6104499012713</v>
      </c>
      <c r="E116" s="171" t="s">
        <v>1405</v>
      </c>
      <c r="F116" s="749">
        <f>IF(B68="I.S. EN 16147",'DHW Calc'!B12*100,(B108*B109)*100)</f>
        <v>150</v>
      </c>
      <c r="H116" s="329"/>
      <c r="I116" s="330"/>
      <c r="J116" s="331"/>
      <c r="K116" s="303"/>
      <c r="L116" s="303"/>
      <c r="M116" s="303"/>
    </row>
    <row r="117" spans="1:14" ht="30.75" customHeight="1">
      <c r="H117" s="329"/>
      <c r="I117" s="330"/>
      <c r="J117" s="331"/>
      <c r="K117" s="303"/>
      <c r="L117" s="303"/>
      <c r="M117" s="303"/>
    </row>
    <row r="118" spans="1:14" ht="30.75" customHeight="1">
      <c r="H118" s="329"/>
      <c r="I118" s="330"/>
      <c r="J118" s="331"/>
      <c r="K118" s="330"/>
      <c r="L118" s="330"/>
      <c r="M118" s="330"/>
    </row>
    <row r="119" spans="1:14" ht="18.75" customHeight="1">
      <c r="H119" s="329"/>
      <c r="I119" s="330"/>
      <c r="J119" s="354"/>
      <c r="K119" s="330"/>
      <c r="L119" s="330"/>
      <c r="M119" s="330"/>
      <c r="N119" s="348" t="s">
        <v>2</v>
      </c>
    </row>
    <row r="120" spans="1:14" ht="28.5" customHeight="1">
      <c r="H120" s="329"/>
      <c r="I120" s="330"/>
      <c r="J120" s="351"/>
      <c r="K120" s="350"/>
      <c r="L120" s="350"/>
      <c r="M120" s="350"/>
    </row>
    <row r="121" spans="1:14" ht="30.75" customHeight="1">
      <c r="I121" s="476"/>
      <c r="J121" s="331"/>
      <c r="K121" s="330"/>
      <c r="L121" s="330"/>
      <c r="M121" s="330"/>
    </row>
    <row r="122" spans="1:14" ht="30.75" customHeight="1">
      <c r="I122" s="476"/>
      <c r="J122" s="331"/>
      <c r="K122" s="330"/>
      <c r="L122" s="330"/>
      <c r="M122" s="330"/>
    </row>
    <row r="123" spans="1:14" ht="30.75" customHeight="1">
      <c r="I123" s="476"/>
      <c r="J123" s="331"/>
      <c r="K123" s="330"/>
      <c r="L123" s="330"/>
      <c r="M123" s="330"/>
    </row>
    <row r="124" spans="1:14" ht="30.75" customHeight="1">
      <c r="I124" s="476"/>
      <c r="J124" s="331"/>
      <c r="K124" s="330"/>
      <c r="L124" s="330"/>
      <c r="M124" s="330"/>
    </row>
    <row r="125" spans="1:14" ht="30.75" customHeight="1">
      <c r="I125" s="476"/>
      <c r="J125" s="331"/>
      <c r="K125" s="330"/>
      <c r="L125" s="330"/>
      <c r="M125" s="330"/>
    </row>
    <row r="126" spans="1:14" ht="30.75" customHeight="1">
      <c r="I126" s="476"/>
      <c r="J126" s="331"/>
      <c r="K126" s="330"/>
      <c r="L126" s="330"/>
      <c r="M126" s="330"/>
    </row>
    <row r="127" spans="1:14" ht="86.25" customHeight="1">
      <c r="I127" s="476"/>
      <c r="J127" s="331"/>
      <c r="K127" s="330"/>
      <c r="L127" s="330"/>
      <c r="M127" s="330"/>
    </row>
    <row r="128" spans="1:14">
      <c r="J128" s="331"/>
      <c r="K128" s="330"/>
      <c r="L128" s="330"/>
      <c r="M128" s="330"/>
    </row>
    <row r="129" spans="10:13" ht="32.25" customHeight="1">
      <c r="J129" s="331"/>
      <c r="K129" s="303"/>
      <c r="L129" s="303"/>
      <c r="M129" s="303"/>
    </row>
    <row r="130" spans="10:13">
      <c r="J130" s="331"/>
      <c r="K130" s="330"/>
      <c r="L130" s="330"/>
      <c r="M130" s="330"/>
    </row>
    <row r="131" spans="10:13">
      <c r="J131" s="331"/>
      <c r="K131" s="330"/>
      <c r="L131" s="330"/>
      <c r="M131" s="330"/>
    </row>
    <row r="132" spans="10:13">
      <c r="J132" s="331"/>
      <c r="K132" s="330"/>
      <c r="L132" s="330"/>
      <c r="M132" s="330"/>
    </row>
    <row r="133" spans="10:13">
      <c r="J133" s="331"/>
      <c r="K133" s="330"/>
      <c r="L133" s="330"/>
      <c r="M133" s="330"/>
    </row>
    <row r="134" spans="10:13">
      <c r="J134" s="331"/>
      <c r="K134" s="330"/>
      <c r="L134" s="330"/>
      <c r="M134" s="330"/>
    </row>
    <row r="135" spans="10:13">
      <c r="J135" s="331"/>
      <c r="K135" s="330"/>
      <c r="L135" s="330"/>
      <c r="M135" s="330"/>
    </row>
  </sheetData>
  <sheetProtection algorithmName="SHA-512" hashValue="HJfkrVf1I58pGMfFPiesfyj1JJRBPhuElIeSbpl6ADWBnj+ajvIccZhcBYsWIUd7dOJKBGXRdc+ri0tz4gIjXQ==" saltValue="9Hqb4cUlEErlr4n0LBpHMg==" spinCount="100000" sheet="1" objects="1" scenarios="1"/>
  <mergeCells count="65">
    <mergeCell ref="D16:F16"/>
    <mergeCell ref="D33:F33"/>
    <mergeCell ref="D10:F10"/>
    <mergeCell ref="D11:F11"/>
    <mergeCell ref="D12:F12"/>
    <mergeCell ref="D13:F13"/>
    <mergeCell ref="D14:F14"/>
    <mergeCell ref="D18:F18"/>
    <mergeCell ref="D19:F19"/>
    <mergeCell ref="D22:F22"/>
    <mergeCell ref="D24:F24"/>
    <mergeCell ref="D25:F25"/>
    <mergeCell ref="D26:F26"/>
    <mergeCell ref="D27:F27"/>
    <mergeCell ref="D29:F29"/>
    <mergeCell ref="A9:I9"/>
    <mergeCell ref="D7:F7"/>
    <mergeCell ref="D3:F3"/>
    <mergeCell ref="D4:F4"/>
    <mergeCell ref="D15:F15"/>
    <mergeCell ref="D74:F74"/>
    <mergeCell ref="D75:F75"/>
    <mergeCell ref="D38:F38"/>
    <mergeCell ref="A62:I62"/>
    <mergeCell ref="D63:F63"/>
    <mergeCell ref="D64:F64"/>
    <mergeCell ref="D65:F65"/>
    <mergeCell ref="D66:F66"/>
    <mergeCell ref="D40:F40"/>
    <mergeCell ref="D41:F41"/>
    <mergeCell ref="D42:F42"/>
    <mergeCell ref="D39:F39"/>
    <mergeCell ref="D67:F67"/>
    <mergeCell ref="D111:F111"/>
    <mergeCell ref="D87:F87"/>
    <mergeCell ref="D88:F88"/>
    <mergeCell ref="D89:F89"/>
    <mergeCell ref="D90:F90"/>
    <mergeCell ref="D100:F100"/>
    <mergeCell ref="D101:F101"/>
    <mergeCell ref="D102:F102"/>
    <mergeCell ref="D106:F106"/>
    <mergeCell ref="D107:F107"/>
    <mergeCell ref="D108:F108"/>
    <mergeCell ref="D109:F109"/>
    <mergeCell ref="D94:F94"/>
    <mergeCell ref="D95:F95"/>
    <mergeCell ref="D96:F96"/>
    <mergeCell ref="D93:F93"/>
    <mergeCell ref="D2:G2"/>
    <mergeCell ref="D86:F86"/>
    <mergeCell ref="D77:F77"/>
    <mergeCell ref="D69:F69"/>
    <mergeCell ref="D70:F70"/>
    <mergeCell ref="D71:F71"/>
    <mergeCell ref="D72:F72"/>
    <mergeCell ref="D73:F73"/>
    <mergeCell ref="D68:F68"/>
    <mergeCell ref="D81:F81"/>
    <mergeCell ref="D82:F82"/>
    <mergeCell ref="D84:F84"/>
    <mergeCell ref="D85:F85"/>
    <mergeCell ref="D31:F31"/>
    <mergeCell ref="D32:F32"/>
    <mergeCell ref="D35:F35"/>
  </mergeCells>
  <conditionalFormatting sqref="B100:B102">
    <cfRule type="expression" dxfId="46" priority="30" stopIfTrue="1">
      <formula>OR($B$68="I.S. EN 16147",$B$68="I.S. EN 14511")</formula>
    </cfRule>
  </conditionalFormatting>
  <conditionalFormatting sqref="B106:B107 B21:B23 B25">
    <cfRule type="expression" dxfId="45" priority="31" stopIfTrue="1">
      <formula>#REF!="Domestic Hot Water"</formula>
    </cfRule>
  </conditionalFormatting>
  <conditionalFormatting sqref="B108:B109">
    <cfRule type="expression" dxfId="44" priority="32" stopIfTrue="1">
      <formula>#REF!="Space Heating"</formula>
    </cfRule>
  </conditionalFormatting>
  <conditionalFormatting sqref="B33:B36">
    <cfRule type="expression" dxfId="43" priority="23" stopIfTrue="1">
      <formula>$B$32="No"</formula>
    </cfRule>
  </conditionalFormatting>
  <conditionalFormatting sqref="B75:B78">
    <cfRule type="expression" dxfId="42" priority="24" stopIfTrue="1">
      <formula>$B$74="No"</formula>
    </cfRule>
  </conditionalFormatting>
  <conditionalFormatting sqref="B38 C39:C42">
    <cfRule type="expression" dxfId="41" priority="25" stopIfTrue="1">
      <formula>OR($B$14="I.S. EN 14511")</formula>
    </cfRule>
  </conditionalFormatting>
  <conditionalFormatting sqref="C44:G47">
    <cfRule type="expression" dxfId="40" priority="26" stopIfTrue="1">
      <formula>OR($B$14="I.S. EN 14511",$C$39="No")</formula>
    </cfRule>
  </conditionalFormatting>
  <conditionalFormatting sqref="C52:G55">
    <cfRule type="expression" dxfId="39" priority="27" stopIfTrue="1">
      <formula>OR($B$14="I.S. EN 14511")</formula>
    </cfRule>
  </conditionalFormatting>
  <conditionalFormatting sqref="B92:B96">
    <cfRule type="expression" dxfId="38" priority="29" stopIfTrue="1">
      <formula>AND($B$14="I.S. EN 14825",OR($B$68="I.S. EN 16147",$B$68="I.S. EN 255-3"))</formula>
    </cfRule>
  </conditionalFormatting>
  <conditionalFormatting sqref="B6:B8">
    <cfRule type="expression" dxfId="37" priority="21" stopIfTrue="1">
      <formula>$B$5="No"</formula>
    </cfRule>
  </conditionalFormatting>
  <conditionalFormatting sqref="B13">
    <cfRule type="expression" dxfId="36" priority="33" stopIfTrue="1">
      <formula>$B$14="I.S. EN 14511"</formula>
    </cfRule>
  </conditionalFormatting>
  <conditionalFormatting sqref="B14">
    <cfRule type="expression" dxfId="35" priority="34" stopIfTrue="1">
      <formula>#REF!="Domestic Hot Water"</formula>
    </cfRule>
  </conditionalFormatting>
  <conditionalFormatting sqref="B32 B15:B16">
    <cfRule type="expression" dxfId="34" priority="35" stopIfTrue="1">
      <formula>OR($B$14="I.S. EN 14511")</formula>
    </cfRule>
  </conditionalFormatting>
  <conditionalFormatting sqref="B74 B70">
    <cfRule type="expression" dxfId="33" priority="36" stopIfTrue="1">
      <formula>OR(#REF!="Space Heating")</formula>
    </cfRule>
  </conditionalFormatting>
  <conditionalFormatting sqref="C48:G51">
    <cfRule type="expression" dxfId="32" priority="20">
      <formula>$C$40="No"</formula>
    </cfRule>
  </conditionalFormatting>
  <conditionalFormatting sqref="C48:G51">
    <cfRule type="expression" dxfId="31" priority="37" stopIfTrue="1">
      <formula>OR($B$14="I.S. EN 14511",$C$40="No")</formula>
    </cfRule>
  </conditionalFormatting>
  <conditionalFormatting sqref="B19">
    <cfRule type="expression" dxfId="30" priority="39" stopIfTrue="1">
      <formula>#REF!="Domestic Hot Water"</formula>
    </cfRule>
  </conditionalFormatting>
  <conditionalFormatting sqref="B73">
    <cfRule type="expression" dxfId="29" priority="40" stopIfTrue="1">
      <formula>OR(#REF!="Space Heating",#REF!="I.S. EN 14511",#REF!="I.S. EN 255-3",$B$70="No Hot Water Store")</formula>
    </cfRule>
  </conditionalFormatting>
  <conditionalFormatting sqref="B73">
    <cfRule type="expression" dxfId="28" priority="41" stopIfTrue="1">
      <formula>OR(#REF!="I.S. EN 14511",#REF!="I.S. EN 255-3",#REF!="Space heating",$B$70="No Hot Water Store")</formula>
    </cfRule>
  </conditionalFormatting>
  <conditionalFormatting sqref="B29">
    <cfRule type="expression" dxfId="27" priority="42" stopIfTrue="1">
      <formula>AND($B$14="I.S. EN 14511",$B$68="I.S. EN 14511")</formula>
    </cfRule>
  </conditionalFormatting>
  <conditionalFormatting sqref="B83:B89">
    <cfRule type="expression" dxfId="26" priority="43" stopIfTrue="1">
      <formula>OR($B$68="I.S. EN 255-3",$B$68="I.S. EN 14511")</formula>
    </cfRule>
  </conditionalFormatting>
  <conditionalFormatting sqref="D90:F97">
    <cfRule type="expression" dxfId="25" priority="19">
      <formula>OR(#REF!="Space heating",#REF!="I.S. EN 14511",#REF!="I.S. EN 255-3")</formula>
    </cfRule>
  </conditionalFormatting>
  <conditionalFormatting sqref="B74">
    <cfRule type="expression" dxfId="24" priority="18">
      <formula>#REF!="I.S. EN 14511"</formula>
    </cfRule>
  </conditionalFormatting>
  <conditionalFormatting sqref="B82">
    <cfRule type="expression" dxfId="23" priority="17" stopIfTrue="1">
      <formula>OR($B$68="I.S. EN 255-3",$B$68="I.S. EN 14511")</formula>
    </cfRule>
  </conditionalFormatting>
  <conditionalFormatting sqref="B81">
    <cfRule type="expression" dxfId="22" priority="16">
      <formula>OR($B$68="I.S. EN 255-3",$B$68="I.S. EN 14511")</formula>
    </cfRule>
  </conditionalFormatting>
  <conditionalFormatting sqref="B66">
    <cfRule type="expression" dxfId="21" priority="12" stopIfTrue="1">
      <formula>$B$14="I.S. EN 14511"</formula>
    </cfRule>
  </conditionalFormatting>
  <conditionalFormatting sqref="B68">
    <cfRule type="expression" dxfId="20" priority="15" stopIfTrue="1">
      <formula>#REF!="Space heating"</formula>
    </cfRule>
  </conditionalFormatting>
  <conditionalFormatting sqref="B17">
    <cfRule type="expression" dxfId="19" priority="11" stopIfTrue="1">
      <formula>OR($B$14="I.S. EN 14511",#REF!="Domestic Hot Water")</formula>
    </cfRule>
  </conditionalFormatting>
  <conditionalFormatting sqref="B69">
    <cfRule type="expression" dxfId="18" priority="10" stopIfTrue="1">
      <formula>OR($B$14="I.S. EN 14511",#REF!="Domestic Hot Water")</formula>
    </cfRule>
  </conditionalFormatting>
  <conditionalFormatting sqref="C56:G59">
    <cfRule type="expression" dxfId="17" priority="8">
      <formula>OR($B$14="I.S. EN 14511",$C$41="No")</formula>
    </cfRule>
    <cfRule type="expression" dxfId="16" priority="9">
      <formula>$C$41="No"</formula>
    </cfRule>
  </conditionalFormatting>
  <conditionalFormatting sqref="A10:I61">
    <cfRule type="expression" dxfId="15" priority="7">
      <formula>$N$10=FALSE</formula>
    </cfRule>
  </conditionalFormatting>
  <conditionalFormatting sqref="A63:I89 A99:I102">
    <cfRule type="expression" dxfId="14" priority="6">
      <formula>$N$11=FALSE</formula>
    </cfRule>
  </conditionalFormatting>
  <conditionalFormatting sqref="B106:B107 B115 B111 F115">
    <cfRule type="expression" dxfId="13" priority="5">
      <formula>$N$10=FALSE</formula>
    </cfRule>
  </conditionalFormatting>
  <conditionalFormatting sqref="B108:B109 B112 B116 F116">
    <cfRule type="expression" dxfId="12" priority="4">
      <formula>$N$11=FALSE</formula>
    </cfRule>
  </conditionalFormatting>
  <conditionalFormatting sqref="B67">
    <cfRule type="expression" dxfId="11" priority="3">
      <formula>$N$10=FALSE</formula>
    </cfRule>
  </conditionalFormatting>
  <conditionalFormatting sqref="D115">
    <cfRule type="expression" dxfId="10" priority="2">
      <formula>$N$10=FALSE</formula>
    </cfRule>
  </conditionalFormatting>
  <conditionalFormatting sqref="D116">
    <cfRule type="expression" dxfId="9" priority="1">
      <formula>$N$11=FALSE</formula>
    </cfRule>
  </conditionalFormatting>
  <dataValidations count="13">
    <dataValidation type="list" allowBlank="1" showInputMessage="1" showErrorMessage="1" sqref="B81" xr:uid="{C715316F-B879-45FD-925A-A362F70E9AB1}">
      <formula1>$AR$1:$AR$2</formula1>
    </dataValidation>
    <dataValidation type="list" allowBlank="1" showInputMessage="1" showErrorMessage="1" sqref="B87" xr:uid="{90A52798-AC2B-46DB-9464-FFD084FF0840}">
      <formula1>$AL$1:$AL$11</formula1>
    </dataValidation>
    <dataValidation type="list" allowBlank="1" showInputMessage="1" showErrorMessage="1" sqref="B29" xr:uid="{AB038969-0B1B-412F-96AE-6891AE6495ED}">
      <formula1>$AP$1:$AP$3</formula1>
    </dataValidation>
    <dataValidation type="list" allowBlank="1" showInputMessage="1" showErrorMessage="1" sqref="B12 B65" xr:uid="{054C7BE1-C3BE-41F0-BC39-FBEDAC59515B}">
      <formula1>$S$1:$S$7</formula1>
    </dataValidation>
    <dataValidation type="list" allowBlank="1" showInputMessage="1" showErrorMessage="1" sqref="B68" xr:uid="{A06B9070-266E-42F8-9EEF-2C08CC5A03E0}">
      <formula1>$N$2:$N$4</formula1>
    </dataValidation>
    <dataValidation type="list" allowBlank="1" showInputMessage="1" showErrorMessage="1" sqref="B70" xr:uid="{D4522BF2-5F7F-4ED1-A8D1-3B3E6E574947}">
      <formula1>$AG$1:$AG$4</formula1>
    </dataValidation>
    <dataValidation type="list" allowBlank="1" showInputMessage="1" showErrorMessage="1" sqref="B33 B75" xr:uid="{8FE5382B-D4AD-466E-ABA4-D3C8A043EC2C}">
      <formula1>$W$2:$W$12</formula1>
    </dataValidation>
    <dataValidation type="list" allowBlank="1" showInputMessage="1" showErrorMessage="1" sqref="B13 B66" xr:uid="{59755440-4EE8-4145-BD33-1FD1FEB901F7}">
      <formula1>$Z$1:$Z$2</formula1>
    </dataValidation>
    <dataValidation type="list" allowBlank="1" showInputMessage="1" showErrorMessage="1" sqref="B14" xr:uid="{F31C8B37-E414-4C20-9882-D8648D2A41D0}">
      <formula1>$N$1:$N$2</formula1>
    </dataValidation>
    <dataValidation type="list" allowBlank="1" showInputMessage="1" showErrorMessage="1" sqref="B67" xr:uid="{E2A1B94C-BB56-4A5E-AB1B-82ED42BE06E4}">
      <formula1>$P$2:$P$3</formula1>
    </dataValidation>
    <dataValidation type="decimal" allowBlank="1" showInputMessage="1" showErrorMessage="1" errorTitle="Design Flow Temperature" error="The design flow temperature must be between 20oC and 65oC" sqref="B25" xr:uid="{276EAE8F-8D60-417E-93D3-96EE316F12A4}">
      <formula1>20</formula1>
      <formula2>65</formula2>
    </dataValidation>
    <dataValidation allowBlank="1" showInputMessage="1" showErrorMessage="1" errorTitle="Design Flow Temperature" error="The design flow temperature must be between 35oC and 55oC" sqref="B20" xr:uid="{0E57D5CA-806B-44F0-8348-82C32A8A8A97}"/>
    <dataValidation type="list" allowBlank="1" showInputMessage="1" showErrorMessage="1" sqref="B94:B96 B32 B92 C39:C41 B74 B21:B23" xr:uid="{1D2918BB-1E58-4C73-BCB7-73AE3895DDA0}">
      <formula1>$AB$1:$AB$2</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D3F0-7C02-4B22-8E6C-D4A0AE6C96F1}">
  <dimension ref="A1:V44"/>
  <sheetViews>
    <sheetView workbookViewId="0">
      <selection activeCell="C14" sqref="C14"/>
    </sheetView>
  </sheetViews>
  <sheetFormatPr defaultRowHeight="12.75"/>
  <cols>
    <col min="2" max="2" width="15.140625" customWidth="1"/>
  </cols>
  <sheetData>
    <row r="1" spans="1:10" ht="18">
      <c r="A1" s="23" t="s">
        <v>3</v>
      </c>
      <c r="B1" s="24"/>
      <c r="C1" s="24"/>
      <c r="D1" s="24"/>
      <c r="E1" s="24"/>
      <c r="F1" s="24"/>
      <c r="G1" s="24"/>
      <c r="H1" s="24"/>
      <c r="I1" s="24"/>
      <c r="J1" s="24"/>
    </row>
    <row r="2" spans="1:10">
      <c r="A2" s="14"/>
      <c r="B2" s="14"/>
      <c r="C2" s="14"/>
      <c r="D2" s="14"/>
      <c r="E2" s="14"/>
      <c r="F2" s="14"/>
      <c r="G2" s="14"/>
      <c r="H2" s="14"/>
      <c r="I2" s="14"/>
      <c r="J2" s="14"/>
    </row>
    <row r="3" spans="1:10" ht="15.75">
      <c r="A3" s="60"/>
      <c r="B3" s="61" t="s">
        <v>4</v>
      </c>
      <c r="C3" s="60"/>
      <c r="D3" s="60"/>
      <c r="E3" s="60"/>
      <c r="F3" s="60"/>
      <c r="G3" s="60"/>
      <c r="H3" s="60"/>
      <c r="I3" s="60"/>
      <c r="J3" s="60"/>
    </row>
    <row r="4" spans="1:10">
      <c r="A4" s="14"/>
      <c r="B4" s="60" t="s">
        <v>5</v>
      </c>
      <c r="C4" s="499"/>
      <c r="D4" s="499"/>
      <c r="E4" s="21"/>
      <c r="F4" s="21"/>
      <c r="G4" s="21"/>
      <c r="H4" s="14"/>
      <c r="I4" s="14"/>
      <c r="J4" s="14"/>
    </row>
    <row r="5" spans="1:10">
      <c r="A5" s="14"/>
      <c r="B5" s="21"/>
      <c r="C5" s="499"/>
      <c r="D5" s="499"/>
      <c r="E5" s="21"/>
      <c r="F5" s="21"/>
      <c r="G5" s="21"/>
      <c r="H5" s="14"/>
      <c r="I5" s="14"/>
      <c r="J5" s="14"/>
    </row>
    <row r="6" spans="1:10">
      <c r="A6" s="14"/>
      <c r="B6" s="60" t="s">
        <v>6</v>
      </c>
      <c r="C6" s="499"/>
      <c r="D6" s="499"/>
      <c r="E6" s="21"/>
      <c r="F6" s="21"/>
      <c r="G6" s="21"/>
      <c r="H6" s="14"/>
      <c r="I6" s="14"/>
      <c r="J6" s="14"/>
    </row>
    <row r="7" spans="1:10">
      <c r="A7" s="14"/>
      <c r="B7" s="21"/>
      <c r="C7" s="499"/>
      <c r="D7" s="499"/>
      <c r="E7" s="21"/>
      <c r="F7" s="21"/>
      <c r="G7" s="21"/>
      <c r="H7" s="14"/>
      <c r="I7" s="14"/>
      <c r="J7" s="14"/>
    </row>
    <row r="8" spans="1:10">
      <c r="A8" s="60"/>
      <c r="B8" s="62" t="s">
        <v>7</v>
      </c>
      <c r="C8" s="60"/>
      <c r="D8" s="62" t="s">
        <v>8</v>
      </c>
      <c r="E8" s="60"/>
      <c r="F8" s="60"/>
      <c r="G8" s="60"/>
      <c r="H8" s="60"/>
      <c r="I8" s="60"/>
      <c r="J8" s="60"/>
    </row>
    <row r="9" spans="1:10">
      <c r="A9" s="60"/>
      <c r="B9" s="117" t="s">
        <v>9</v>
      </c>
      <c r="C9" s="60"/>
      <c r="D9" s="117" t="s">
        <v>10</v>
      </c>
      <c r="E9" s="60"/>
      <c r="F9" s="60"/>
      <c r="G9" s="60"/>
      <c r="H9" s="60"/>
      <c r="I9" s="60"/>
      <c r="J9" s="60"/>
    </row>
    <row r="10" spans="1:10">
      <c r="A10" s="60"/>
      <c r="B10" s="63" t="s">
        <v>11</v>
      </c>
      <c r="C10" s="60"/>
      <c r="D10" s="63" t="s">
        <v>12</v>
      </c>
      <c r="E10" s="63"/>
      <c r="F10" s="60"/>
      <c r="G10" s="60"/>
      <c r="H10" s="60"/>
      <c r="I10" s="60"/>
      <c r="J10" s="60"/>
    </row>
    <row r="11" spans="1:10">
      <c r="A11" s="60"/>
      <c r="B11" s="64" t="s">
        <v>13</v>
      </c>
      <c r="C11" s="60"/>
      <c r="D11" s="64" t="s">
        <v>14</v>
      </c>
      <c r="E11" s="60"/>
      <c r="F11" s="60"/>
      <c r="G11" s="60"/>
      <c r="H11" s="60"/>
      <c r="I11" s="60"/>
      <c r="J11" s="60"/>
    </row>
    <row r="12" spans="1:10">
      <c r="A12" s="60"/>
      <c r="B12" s="60" t="s">
        <v>15</v>
      </c>
      <c r="C12" s="60"/>
      <c r="D12" s="60" t="s">
        <v>16</v>
      </c>
      <c r="E12" s="60"/>
      <c r="F12" s="60"/>
      <c r="G12" s="60"/>
      <c r="H12" s="60"/>
      <c r="I12" s="60"/>
      <c r="J12" s="60"/>
    </row>
    <row r="13" spans="1:10">
      <c r="A13" s="14"/>
      <c r="B13" s="14"/>
      <c r="C13" s="14"/>
      <c r="D13" s="14"/>
      <c r="E13" s="21"/>
      <c r="F13" s="21"/>
      <c r="G13" s="21"/>
      <c r="H13" s="14"/>
      <c r="I13" s="14"/>
      <c r="J13" s="14"/>
    </row>
    <row r="14" spans="1:10" ht="15.75">
      <c r="A14" s="60"/>
      <c r="B14" s="61" t="s">
        <v>17</v>
      </c>
      <c r="C14" s="60"/>
      <c r="D14" s="60"/>
      <c r="E14" s="60"/>
      <c r="F14" s="60"/>
      <c r="G14" s="60"/>
      <c r="H14" s="60"/>
      <c r="I14" s="60"/>
      <c r="J14" s="60"/>
    </row>
    <row r="15" spans="1:10">
      <c r="A15" s="60"/>
      <c r="B15" s="828" t="s">
        <v>18</v>
      </c>
      <c r="C15" s="828"/>
      <c r="D15" s="828"/>
      <c r="E15" s="828"/>
      <c r="F15" s="828"/>
      <c r="G15" s="828"/>
      <c r="H15" s="828"/>
      <c r="I15" s="828"/>
      <c r="J15" s="828"/>
    </row>
    <row r="16" spans="1:10">
      <c r="A16" s="14"/>
      <c r="B16" s="14"/>
      <c r="C16" s="14"/>
      <c r="D16" s="14"/>
      <c r="E16" s="21"/>
      <c r="F16" s="21"/>
      <c r="G16" s="21"/>
      <c r="H16" s="14"/>
      <c r="I16" s="14"/>
      <c r="J16" s="14"/>
    </row>
    <row r="17" spans="1:22" ht="36.75" customHeight="1">
      <c r="A17" s="14"/>
      <c r="B17" s="118" t="s">
        <v>19</v>
      </c>
      <c r="C17" s="829" t="s">
        <v>20</v>
      </c>
      <c r="D17" s="830"/>
      <c r="E17" s="830"/>
      <c r="F17" s="826"/>
      <c r="G17" s="829" t="s">
        <v>21</v>
      </c>
      <c r="H17" s="826"/>
      <c r="I17" s="826"/>
      <c r="J17" s="826"/>
    </row>
    <row r="18" spans="1:22" ht="49.5" customHeight="1">
      <c r="A18" s="14"/>
      <c r="B18" s="119" t="s">
        <v>22</v>
      </c>
      <c r="C18" s="825" t="s">
        <v>23</v>
      </c>
      <c r="D18" s="826"/>
      <c r="E18" s="826"/>
      <c r="F18" s="826"/>
      <c r="G18" s="825" t="s">
        <v>24</v>
      </c>
      <c r="H18" s="827"/>
      <c r="I18" s="827"/>
      <c r="J18" s="826"/>
    </row>
    <row r="19" spans="1:22" ht="49.5" customHeight="1">
      <c r="A19" s="14"/>
      <c r="B19" s="119" t="s">
        <v>25</v>
      </c>
      <c r="C19" s="825" t="s">
        <v>26</v>
      </c>
      <c r="D19" s="826"/>
      <c r="E19" s="826"/>
      <c r="F19" s="826"/>
      <c r="G19" s="825" t="s">
        <v>27</v>
      </c>
      <c r="H19" s="827"/>
      <c r="I19" s="827"/>
      <c r="J19" s="826"/>
    </row>
    <row r="20" spans="1:22" ht="49.5" customHeight="1">
      <c r="A20" s="14"/>
      <c r="B20" s="119" t="s">
        <v>28</v>
      </c>
      <c r="C20" s="825" t="s">
        <v>29</v>
      </c>
      <c r="D20" s="826"/>
      <c r="E20" s="826"/>
      <c r="F20" s="826"/>
      <c r="G20" s="825" t="s">
        <v>30</v>
      </c>
      <c r="H20" s="827"/>
      <c r="I20" s="827"/>
      <c r="J20" s="826"/>
    </row>
    <row r="21" spans="1:22" ht="49.5" customHeight="1">
      <c r="A21" s="14"/>
      <c r="B21" s="119" t="s">
        <v>31</v>
      </c>
      <c r="C21" s="825" t="s">
        <v>32</v>
      </c>
      <c r="D21" s="826"/>
      <c r="E21" s="826"/>
      <c r="F21" s="826"/>
      <c r="G21" s="825" t="s">
        <v>33</v>
      </c>
      <c r="H21" s="827"/>
      <c r="I21" s="827"/>
      <c r="J21" s="826"/>
    </row>
    <row r="22" spans="1:22" ht="49.5" customHeight="1">
      <c r="A22" s="14"/>
      <c r="B22" s="119" t="s">
        <v>34</v>
      </c>
      <c r="C22" s="825" t="s">
        <v>35</v>
      </c>
      <c r="D22" s="826"/>
      <c r="E22" s="826"/>
      <c r="F22" s="826"/>
      <c r="G22" s="825" t="s">
        <v>36</v>
      </c>
      <c r="H22" s="827"/>
      <c r="I22" s="827"/>
      <c r="J22" s="826"/>
    </row>
    <row r="23" spans="1:22" ht="49.5" customHeight="1">
      <c r="A23" s="14"/>
      <c r="B23" s="119" t="s">
        <v>37</v>
      </c>
      <c r="C23" s="825" t="s">
        <v>38</v>
      </c>
      <c r="D23" s="826"/>
      <c r="E23" s="826"/>
      <c r="F23" s="826"/>
      <c r="G23" s="825" t="s">
        <v>39</v>
      </c>
      <c r="H23" s="827"/>
      <c r="I23" s="827"/>
      <c r="J23" s="826"/>
    </row>
    <row r="24" spans="1:22" ht="49.5" customHeight="1">
      <c r="A24" s="14"/>
      <c r="B24" s="119" t="s">
        <v>40</v>
      </c>
      <c r="C24" s="825" t="s">
        <v>41</v>
      </c>
      <c r="D24" s="826"/>
      <c r="E24" s="826"/>
      <c r="F24" s="826"/>
      <c r="G24" s="825" t="s">
        <v>42</v>
      </c>
      <c r="H24" s="827"/>
      <c r="I24" s="827"/>
      <c r="J24" s="826"/>
    </row>
    <row r="25" spans="1:22" ht="49.5" customHeight="1">
      <c r="A25" s="14"/>
      <c r="B25" s="119" t="s">
        <v>43</v>
      </c>
      <c r="C25" s="825" t="s">
        <v>44</v>
      </c>
      <c r="D25" s="826"/>
      <c r="E25" s="826"/>
      <c r="F25" s="826"/>
      <c r="G25" s="825" t="s">
        <v>45</v>
      </c>
      <c r="H25" s="827"/>
      <c r="I25" s="827"/>
      <c r="J25" s="826"/>
    </row>
    <row r="26" spans="1:22" ht="49.5" customHeight="1">
      <c r="A26" s="14"/>
      <c r="B26" s="119" t="s">
        <v>46</v>
      </c>
      <c r="C26" s="825" t="s">
        <v>47</v>
      </c>
      <c r="D26" s="826"/>
      <c r="E26" s="826"/>
      <c r="F26" s="826"/>
      <c r="G26" s="825" t="s">
        <v>48</v>
      </c>
      <c r="H26" s="827"/>
      <c r="I26" s="827"/>
      <c r="J26" s="826"/>
    </row>
    <row r="27" spans="1:22" ht="49.5" customHeight="1">
      <c r="A27" s="14"/>
      <c r="B27" s="119" t="s">
        <v>49</v>
      </c>
      <c r="C27" s="825" t="s">
        <v>50</v>
      </c>
      <c r="D27" s="826"/>
      <c r="E27" s="826"/>
      <c r="F27" s="826"/>
      <c r="G27" s="825" t="s">
        <v>51</v>
      </c>
      <c r="H27" s="827"/>
      <c r="I27" s="827"/>
      <c r="J27" s="826"/>
    </row>
    <row r="28" spans="1:22" ht="49.5" customHeight="1">
      <c r="A28" s="14"/>
      <c r="B28" s="119" t="s">
        <v>52</v>
      </c>
      <c r="C28" s="825" t="s">
        <v>53</v>
      </c>
      <c r="D28" s="826"/>
      <c r="E28" s="826"/>
      <c r="F28" s="826"/>
      <c r="G28" s="825" t="s">
        <v>51</v>
      </c>
      <c r="H28" s="827"/>
      <c r="I28" s="827"/>
      <c r="J28" s="826"/>
    </row>
    <row r="29" spans="1:22" ht="56.25" customHeight="1">
      <c r="A29" s="14"/>
      <c r="B29" s="119" t="s">
        <v>54</v>
      </c>
      <c r="C29" s="825" t="s">
        <v>15</v>
      </c>
      <c r="D29" s="826"/>
      <c r="E29" s="826"/>
      <c r="F29" s="826"/>
      <c r="G29" s="825" t="s">
        <v>55</v>
      </c>
      <c r="H29" s="827"/>
      <c r="I29" s="827"/>
      <c r="J29" s="826"/>
    </row>
    <row r="30" spans="1:22" s="212" customFormat="1" ht="49.5" customHeight="1">
      <c r="A30" s="14"/>
      <c r="B30" s="119" t="s">
        <v>838</v>
      </c>
      <c r="C30" s="825" t="s">
        <v>15</v>
      </c>
      <c r="D30" s="826"/>
      <c r="E30" s="826"/>
      <c r="F30" s="826"/>
      <c r="G30" s="825" t="s">
        <v>1408</v>
      </c>
      <c r="H30" s="827"/>
      <c r="I30" s="827"/>
      <c r="J30" s="826"/>
      <c r="M30" s="17"/>
      <c r="N30" s="17"/>
      <c r="O30" s="17"/>
      <c r="P30" s="17"/>
      <c r="Q30" s="17"/>
      <c r="R30" s="17"/>
      <c r="S30" s="17"/>
      <c r="T30" s="17"/>
      <c r="U30" s="17"/>
      <c r="V30" s="751"/>
    </row>
    <row r="31" spans="1:22" s="212" customFormat="1" ht="49.5" customHeight="1">
      <c r="A31" s="14"/>
      <c r="B31" s="119" t="s">
        <v>698</v>
      </c>
      <c r="C31" s="825" t="s">
        <v>1409</v>
      </c>
      <c r="D31" s="826"/>
      <c r="E31" s="826"/>
      <c r="F31" s="826"/>
      <c r="G31" s="825" t="s">
        <v>24</v>
      </c>
      <c r="H31" s="827"/>
      <c r="I31" s="827"/>
      <c r="J31" s="826"/>
      <c r="M31" s="17"/>
      <c r="N31" s="17"/>
      <c r="O31" s="17"/>
      <c r="P31" s="17"/>
      <c r="Q31" s="17"/>
      <c r="R31" s="17"/>
      <c r="S31" s="17"/>
      <c r="T31" s="17"/>
      <c r="U31" s="17"/>
      <c r="V31" s="69"/>
    </row>
    <row r="32" spans="1:22" s="212" customFormat="1" ht="51" customHeight="1">
      <c r="A32" s="14"/>
      <c r="B32" s="119" t="s">
        <v>1406</v>
      </c>
      <c r="C32" s="825" t="s">
        <v>1410</v>
      </c>
      <c r="D32" s="826"/>
      <c r="E32" s="826"/>
      <c r="F32" s="826"/>
      <c r="G32" s="825" t="s">
        <v>1411</v>
      </c>
      <c r="H32" s="827"/>
      <c r="I32" s="827"/>
      <c r="J32" s="826"/>
      <c r="M32" s="17"/>
      <c r="N32" s="17"/>
      <c r="O32" s="17"/>
      <c r="P32" s="17"/>
      <c r="Q32" s="17"/>
      <c r="R32" s="17"/>
      <c r="S32" s="17"/>
      <c r="T32" s="17"/>
      <c r="U32" s="17"/>
      <c r="V32" s="751"/>
    </row>
    <row r="33" spans="1:22" s="212" customFormat="1" ht="49.5" customHeight="1">
      <c r="A33" s="14"/>
      <c r="B33" s="119" t="s">
        <v>1407</v>
      </c>
      <c r="C33" s="825" t="s">
        <v>1412</v>
      </c>
      <c r="D33" s="826"/>
      <c r="E33" s="826"/>
      <c r="F33" s="826"/>
      <c r="G33" s="825" t="s">
        <v>1413</v>
      </c>
      <c r="H33" s="827"/>
      <c r="I33" s="827"/>
      <c r="J33" s="826"/>
      <c r="M33" s="17"/>
      <c r="N33" s="17"/>
      <c r="O33" s="17"/>
      <c r="P33" s="17"/>
      <c r="Q33" s="17"/>
      <c r="R33" s="17"/>
      <c r="S33" s="17"/>
      <c r="T33" s="17"/>
      <c r="U33" s="17"/>
      <c r="V33" s="751"/>
    </row>
    <row r="34" spans="1:22" s="212" customFormat="1" ht="56.25" customHeight="1">
      <c r="A34" s="14"/>
      <c r="B34" s="119" t="s">
        <v>880</v>
      </c>
      <c r="C34" s="825" t="s">
        <v>1414</v>
      </c>
      <c r="D34" s="826"/>
      <c r="E34" s="826"/>
      <c r="F34" s="826"/>
      <c r="G34" s="825" t="s">
        <v>1415</v>
      </c>
      <c r="H34" s="827"/>
      <c r="I34" s="827"/>
      <c r="J34" s="826"/>
      <c r="M34" s="17"/>
      <c r="N34" s="17"/>
      <c r="O34" s="17"/>
      <c r="P34" s="17"/>
      <c r="Q34" s="17"/>
      <c r="R34" s="17"/>
      <c r="S34" s="17"/>
      <c r="T34" s="17"/>
      <c r="U34" s="17"/>
      <c r="V34" s="99"/>
    </row>
    <row r="35" spans="1:22" s="212" customFormat="1" ht="49.5" customHeight="1">
      <c r="A35" s="14"/>
      <c r="B35" s="119" t="s">
        <v>1416</v>
      </c>
      <c r="C35" s="825" t="s">
        <v>15</v>
      </c>
      <c r="D35" s="826"/>
      <c r="E35" s="826"/>
      <c r="F35" s="826"/>
      <c r="G35" s="825" t="s">
        <v>1418</v>
      </c>
      <c r="H35" s="827"/>
      <c r="I35" s="827"/>
      <c r="J35" s="826"/>
      <c r="M35" s="17"/>
      <c r="N35" s="17"/>
      <c r="O35" s="17"/>
      <c r="P35" s="17"/>
      <c r="Q35" s="17"/>
      <c r="R35" s="17"/>
      <c r="S35" s="17"/>
      <c r="T35" s="17"/>
      <c r="U35" s="17"/>
      <c r="V35" s="752"/>
    </row>
    <row r="36" spans="1:22" s="212" customFormat="1" ht="49.5" customHeight="1">
      <c r="A36" s="14"/>
      <c r="B36" s="119" t="s">
        <v>1417</v>
      </c>
      <c r="C36" s="825" t="s">
        <v>15</v>
      </c>
      <c r="D36" s="826"/>
      <c r="E36" s="826"/>
      <c r="F36" s="826"/>
      <c r="G36" s="825" t="s">
        <v>1419</v>
      </c>
      <c r="H36" s="827"/>
      <c r="I36" s="827"/>
      <c r="J36" s="826"/>
      <c r="M36" s="17"/>
      <c r="N36" s="17"/>
      <c r="O36" s="17"/>
      <c r="P36" s="17"/>
      <c r="Q36" s="17"/>
      <c r="R36" s="17"/>
      <c r="S36" s="17"/>
      <c r="T36" s="17"/>
      <c r="U36" s="17"/>
      <c r="V36" s="753"/>
    </row>
    <row r="37" spans="1:22" s="212" customFormat="1" ht="49.5" customHeight="1">
      <c r="A37" s="14"/>
      <c r="B37" s="119" t="s">
        <v>1420</v>
      </c>
      <c r="C37" s="825" t="s">
        <v>15</v>
      </c>
      <c r="D37" s="826"/>
      <c r="E37" s="826"/>
      <c r="F37" s="826"/>
      <c r="G37" s="825" t="s">
        <v>1421</v>
      </c>
      <c r="H37" s="827"/>
      <c r="I37" s="827"/>
      <c r="J37" s="826"/>
      <c r="M37" s="17"/>
      <c r="N37" s="17"/>
      <c r="O37" s="17"/>
      <c r="P37" s="17"/>
      <c r="Q37" s="17"/>
      <c r="R37" s="17"/>
      <c r="S37" s="17"/>
      <c r="T37" s="17"/>
      <c r="U37" s="17"/>
      <c r="V37" s="102"/>
    </row>
    <row r="38" spans="1:22">
      <c r="M38" s="17"/>
      <c r="N38" s="17"/>
      <c r="O38" s="17"/>
      <c r="P38" s="17"/>
      <c r="Q38" s="17"/>
      <c r="R38" s="17"/>
      <c r="S38" s="17"/>
      <c r="T38" s="17"/>
      <c r="U38" s="17"/>
      <c r="V38" s="99"/>
    </row>
    <row r="39" spans="1:22">
      <c r="M39" s="17"/>
      <c r="N39" s="17"/>
      <c r="O39" s="17"/>
      <c r="P39" s="17"/>
      <c r="Q39" s="17"/>
      <c r="R39" s="17"/>
      <c r="S39" s="17"/>
      <c r="T39" s="754"/>
      <c r="U39" s="69"/>
      <c r="V39" s="105"/>
    </row>
    <row r="40" spans="1:22">
      <c r="M40" s="17"/>
      <c r="N40" s="17"/>
      <c r="O40" s="17"/>
      <c r="P40" s="17"/>
      <c r="Q40" s="17"/>
      <c r="R40" s="17"/>
      <c r="S40" s="17"/>
      <c r="T40" s="69"/>
      <c r="U40" s="69"/>
      <c r="V40" s="99"/>
    </row>
    <row r="41" spans="1:22">
      <c r="M41" s="17"/>
      <c r="N41" s="17"/>
      <c r="O41" s="17"/>
      <c r="P41" s="17"/>
      <c r="Q41" s="17"/>
      <c r="R41" s="17"/>
      <c r="S41" s="17"/>
      <c r="T41" s="69"/>
      <c r="U41" s="69"/>
      <c r="V41" s="155"/>
    </row>
    <row r="42" spans="1:22">
      <c r="M42" s="17"/>
      <c r="N42" s="17"/>
      <c r="O42" s="17"/>
      <c r="P42" s="17"/>
      <c r="Q42" s="17"/>
      <c r="R42" s="17"/>
      <c r="S42" s="17"/>
      <c r="T42" s="69"/>
      <c r="U42" s="69"/>
      <c r="V42" s="751"/>
    </row>
    <row r="43" spans="1:22">
      <c r="M43" s="17"/>
      <c r="N43" s="17"/>
      <c r="O43" s="17"/>
      <c r="P43" s="17"/>
      <c r="Q43" s="17"/>
      <c r="R43" s="17"/>
      <c r="S43" s="17"/>
      <c r="T43" s="69"/>
      <c r="U43" s="69"/>
      <c r="V43" s="105"/>
    </row>
    <row r="44" spans="1:22">
      <c r="M44" s="17"/>
      <c r="N44" s="17"/>
      <c r="O44" s="17"/>
      <c r="P44" s="17"/>
      <c r="Q44" s="17"/>
      <c r="R44" s="17"/>
      <c r="S44" s="17"/>
      <c r="T44" s="69"/>
      <c r="U44" s="754"/>
      <c r="V44" s="105"/>
    </row>
  </sheetData>
  <sheetProtection algorithmName="SHA-512" hashValue="e/pTby95ALoymYRedTB+rt8idGGnVyuKTv7qwkw2YBSj1MQ0mouHznsdnQIHQa/vQavQSvt/N1vsWOcyYj9uGg==" saltValue="gI8oHO0R4J5GSNZ2vxIp/w==" spinCount="100000" sheet="1" objects="1" scenarios="1"/>
  <mergeCells count="43">
    <mergeCell ref="C35:F35"/>
    <mergeCell ref="G35:J35"/>
    <mergeCell ref="C36:F36"/>
    <mergeCell ref="G36:J36"/>
    <mergeCell ref="C37:F37"/>
    <mergeCell ref="G37:J37"/>
    <mergeCell ref="C32:F32"/>
    <mergeCell ref="G32:J32"/>
    <mergeCell ref="C33:F33"/>
    <mergeCell ref="G33:J33"/>
    <mergeCell ref="C34:F34"/>
    <mergeCell ref="G34:J34"/>
    <mergeCell ref="C29:F29"/>
    <mergeCell ref="G29:J29"/>
    <mergeCell ref="C30:F30"/>
    <mergeCell ref="G30:J30"/>
    <mergeCell ref="C31:F31"/>
    <mergeCell ref="G31:J31"/>
    <mergeCell ref="C26:F26"/>
    <mergeCell ref="G26:J26"/>
    <mergeCell ref="C27:F27"/>
    <mergeCell ref="G27:J27"/>
    <mergeCell ref="C28:F28"/>
    <mergeCell ref="G28:J28"/>
    <mergeCell ref="C23:F23"/>
    <mergeCell ref="G23:J23"/>
    <mergeCell ref="C24:F24"/>
    <mergeCell ref="G24:J24"/>
    <mergeCell ref="C25:F25"/>
    <mergeCell ref="G25:J25"/>
    <mergeCell ref="C20:F20"/>
    <mergeCell ref="G20:J20"/>
    <mergeCell ref="C21:F21"/>
    <mergeCell ref="G21:J21"/>
    <mergeCell ref="C22:F22"/>
    <mergeCell ref="G22:J22"/>
    <mergeCell ref="C19:F19"/>
    <mergeCell ref="G19:J19"/>
    <mergeCell ref="B15:J15"/>
    <mergeCell ref="C17:F17"/>
    <mergeCell ref="G17:J17"/>
    <mergeCell ref="C18:F18"/>
    <mergeCell ref="G18:J18"/>
  </mergeCells>
  <dataValidations count="2">
    <dataValidation type="list" allowBlank="1" showInputMessage="1" showErrorMessage="1" errorTitle="DEAP " error="Please select item from drop-down list." sqref="T39" xr:uid="{A8AFF50E-E9E4-4CE8-A38D-BA5548B05657}">
      <formula1>$A$33:$A$36</formula1>
    </dataValidation>
    <dataValidation type="list" allowBlank="1" showInputMessage="1" showErrorMessage="1" errorTitle="DEAP " error="Please select item from drop-down list." sqref="U44" xr:uid="{C8181014-CEEC-489D-B968-FD8E4A94A8BB}">
      <formula1>$A$33:$A$35</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CDA9A-10E4-433D-AD20-38D9DA1EED06}">
  <sheetPr codeName="Sheet18"/>
  <dimension ref="A1:AI90"/>
  <sheetViews>
    <sheetView zoomScale="70" zoomScaleNormal="70" workbookViewId="0">
      <selection activeCell="H12" sqref="H12"/>
    </sheetView>
  </sheetViews>
  <sheetFormatPr defaultColWidth="9.140625" defaultRowHeight="12.75"/>
  <cols>
    <col min="1" max="1" width="41.85546875" style="421" customWidth="1"/>
    <col min="2" max="2" width="25.42578125" style="421" customWidth="1"/>
    <col min="3" max="3" width="9.5703125" style="421" bestFit="1" customWidth="1"/>
    <col min="4" max="4" width="11.7109375" style="421" bestFit="1" customWidth="1"/>
    <col min="5" max="7" width="15" style="421" customWidth="1"/>
    <col min="8" max="8" width="11.85546875" style="421" customWidth="1"/>
    <col min="9" max="9" width="22.5703125" style="421" customWidth="1"/>
    <col min="10" max="10" width="35.28515625" style="421" customWidth="1"/>
    <col min="11" max="11" width="14.7109375" style="421" customWidth="1"/>
    <col min="12" max="12" width="36.140625" style="429" customWidth="1"/>
    <col min="13" max="13" width="14.7109375" style="421" customWidth="1"/>
    <col min="14" max="14" width="9.140625" style="421"/>
    <col min="15" max="15" width="15.85546875" style="421" customWidth="1"/>
    <col min="16" max="16" width="15.5703125" style="421" customWidth="1"/>
    <col min="17" max="19" width="16.85546875" style="421" customWidth="1"/>
    <col min="20" max="20" width="20" style="421" customWidth="1"/>
    <col min="21" max="21" width="18.5703125" style="421" customWidth="1"/>
    <col min="22" max="22" width="11.28515625" style="421" customWidth="1"/>
    <col min="23" max="23" width="10.85546875" style="421" customWidth="1"/>
    <col min="24" max="24" width="9.140625" style="421"/>
    <col min="25" max="25" width="11.7109375" style="421" customWidth="1"/>
    <col min="26" max="27" width="14.7109375" style="421" customWidth="1"/>
    <col min="28" max="28" width="12.7109375" style="421" customWidth="1"/>
    <col min="29" max="29" width="26" style="429" customWidth="1"/>
    <col min="30" max="31" width="11.42578125" style="421" customWidth="1"/>
    <col min="32" max="16384" width="9.140625" style="421"/>
  </cols>
  <sheetData>
    <row r="1" spans="1:35" ht="18.75" thickBot="1">
      <c r="A1" s="420" t="s">
        <v>1166</v>
      </c>
      <c r="C1" s="421" t="s">
        <v>1167</v>
      </c>
      <c r="D1" s="421" t="s">
        <v>1168</v>
      </c>
      <c r="E1" s="421" t="s">
        <v>1169</v>
      </c>
      <c r="F1" s="421" t="s">
        <v>1170</v>
      </c>
      <c r="G1" s="421" t="s">
        <v>1171</v>
      </c>
      <c r="H1" s="421" t="s">
        <v>696</v>
      </c>
      <c r="I1" s="422" t="s">
        <v>1172</v>
      </c>
      <c r="J1" s="324"/>
      <c r="K1" s="423"/>
      <c r="L1" s="324"/>
      <c r="M1" s="423"/>
      <c r="N1" s="325"/>
      <c r="O1" s="421" t="s">
        <v>1173</v>
      </c>
      <c r="P1" s="421" t="s">
        <v>2</v>
      </c>
      <c r="Q1" s="421" t="s">
        <v>2</v>
      </c>
      <c r="T1" s="424">
        <f>IF(HP!B29=24,(1-AG24)*H8,IF(HP!B29=16,(1-AH24)*H8,(1-AI24)*H8))</f>
        <v>-126.95192234588862</v>
      </c>
      <c r="U1" s="424">
        <f>H12</f>
        <v>2488.6104499012708</v>
      </c>
      <c r="AA1" s="421">
        <f>IF(HP!B29=24,(AG24)*H8,IF(HP!B29=16,(AH24)*H8,(AI24)*H8))</f>
        <v>2948.1057522545293</v>
      </c>
      <c r="AC1" s="324"/>
      <c r="AD1" s="423"/>
    </row>
    <row r="2" spans="1:35">
      <c r="A2" s="421" t="s">
        <v>1174</v>
      </c>
      <c r="B2" s="422" t="s">
        <v>1175</v>
      </c>
      <c r="C2" s="425" t="s">
        <v>1176</v>
      </c>
      <c r="D2" s="425" t="s">
        <v>1177</v>
      </c>
      <c r="E2" s="425" t="s">
        <v>1178</v>
      </c>
      <c r="F2" s="425" t="s">
        <v>1179</v>
      </c>
      <c r="G2" s="425" t="s">
        <v>1180</v>
      </c>
      <c r="J2" s="426"/>
      <c r="K2" s="427"/>
      <c r="L2" s="428"/>
      <c r="M2" s="427"/>
      <c r="AD2" s="422" t="s">
        <v>2</v>
      </c>
    </row>
    <row r="3" spans="1:35" ht="69.75" customHeight="1">
      <c r="A3" s="421" t="s">
        <v>1181</v>
      </c>
      <c r="B3" s="421" t="s">
        <v>1182</v>
      </c>
      <c r="C3" s="424" t="str">
        <f>HP!B15</f>
        <v xml:space="preserve"> </v>
      </c>
      <c r="D3" s="421">
        <v>-7</v>
      </c>
      <c r="E3" s="421">
        <v>2</v>
      </c>
      <c r="F3" s="421">
        <v>7</v>
      </c>
      <c r="G3" s="421">
        <v>12</v>
      </c>
      <c r="I3" s="421" t="s">
        <v>1183</v>
      </c>
      <c r="J3" s="426"/>
      <c r="K3" s="427"/>
      <c r="L3" s="428"/>
      <c r="M3" s="427" t="s">
        <v>1184</v>
      </c>
      <c r="N3" s="430" t="s">
        <v>1139</v>
      </c>
      <c r="O3" s="429" t="s">
        <v>1185</v>
      </c>
      <c r="P3" s="429" t="s">
        <v>1186</v>
      </c>
      <c r="Q3" s="429" t="s">
        <v>1187</v>
      </c>
      <c r="R3" s="429" t="s">
        <v>1188</v>
      </c>
      <c r="S3" s="429" t="s">
        <v>1189</v>
      </c>
      <c r="T3" s="429" t="s">
        <v>1190</v>
      </c>
      <c r="U3" s="429" t="s">
        <v>1191</v>
      </c>
      <c r="V3" s="429" t="s">
        <v>1192</v>
      </c>
      <c r="W3" s="429" t="s">
        <v>1193</v>
      </c>
      <c r="X3" s="430" t="s">
        <v>1194</v>
      </c>
      <c r="Y3" s="429" t="s">
        <v>1195</v>
      </c>
      <c r="Z3" s="429" t="s">
        <v>1196</v>
      </c>
      <c r="AA3" s="430" t="s">
        <v>1197</v>
      </c>
      <c r="AB3" s="430" t="s">
        <v>1198</v>
      </c>
      <c r="AC3" s="426" t="s">
        <v>1199</v>
      </c>
      <c r="AD3" s="427"/>
      <c r="AF3" s="873" t="s">
        <v>1200</v>
      </c>
      <c r="AG3" s="873"/>
      <c r="AH3" s="873"/>
      <c r="AI3" s="873"/>
    </row>
    <row r="4" spans="1:35" ht="14.25">
      <c r="A4" s="422" t="s">
        <v>1201</v>
      </c>
      <c r="B4" s="421" t="s">
        <v>1202</v>
      </c>
      <c r="C4" s="421">
        <v>-12</v>
      </c>
      <c r="D4" s="421" t="e">
        <f>(C3+D3)/2</f>
        <v>#VALUE!</v>
      </c>
      <c r="E4" s="421">
        <f>(D3+E3)/2</f>
        <v>-2.5</v>
      </c>
      <c r="F4" s="421">
        <f>(E3+F3)/2</f>
        <v>4.5</v>
      </c>
      <c r="G4" s="421">
        <f>(F3+G3)/2</f>
        <v>9.5</v>
      </c>
      <c r="I4" s="422" t="s">
        <v>1203</v>
      </c>
      <c r="J4" s="426"/>
      <c r="K4" s="427"/>
      <c r="L4" s="428"/>
      <c r="M4" s="431" t="str">
        <f>C3</f>
        <v xml:space="preserve"> </v>
      </c>
      <c r="N4" s="424">
        <f>C41</f>
        <v>0</v>
      </c>
      <c r="O4" s="432">
        <v>-12</v>
      </c>
      <c r="P4" s="433">
        <f>'Meteorological data'!F4</f>
        <v>0</v>
      </c>
      <c r="Q4" s="433">
        <f>'Meteorological data'!G4</f>
        <v>0</v>
      </c>
      <c r="R4" s="434">
        <v>0</v>
      </c>
      <c r="S4" s="435">
        <f>R4*((24-HP!$B$30)/24)</f>
        <v>0</v>
      </c>
      <c r="T4" s="435">
        <f>$T$1*P4</f>
        <v>0</v>
      </c>
      <c r="U4" s="435">
        <f>$U$1*Q4</f>
        <v>0</v>
      </c>
      <c r="V4" s="435">
        <f>IF(HP!$N$12=TRUE,(T4+U4),T4)</f>
        <v>0</v>
      </c>
      <c r="W4" s="424">
        <f>HP!$B$19+(((HP!$B$25-HP!$B$28)/2)*((HP!$B$19-O4)/(HP!$B$19-HP!$B$18)))+((AVERAGE(HP!$B$25,HP!$B$28)-HP!$B$19)*((HP!$B$19-O4)/(HP!$B$19-HP!$B$18))^(1/HP!$B$26))</f>
        <v>74.194921443240787</v>
      </c>
      <c r="X4" s="424" t="e">
        <f>(($X$9-$N$4)/($O$9-$M$4))*(O4-$M$4)+$N$4</f>
        <v>#VALUE!</v>
      </c>
      <c r="Y4" s="435" t="e">
        <f>V4/X4</f>
        <v>#VALUE!</v>
      </c>
      <c r="Z4" s="435" t="e">
        <f>IF((Y4-S4)&lt;0,0,(Y4-S4))</f>
        <v>#VALUE!</v>
      </c>
      <c r="AA4" s="435">
        <f>$AA$1*P4</f>
        <v>0</v>
      </c>
      <c r="AB4" s="435" t="e">
        <f>X4*Z4</f>
        <v>#VALUE!</v>
      </c>
      <c r="AC4" s="436" t="e">
        <f>AA4+AB4</f>
        <v>#VALUE!</v>
      </c>
      <c r="AD4" s="437"/>
      <c r="AF4" s="422" t="s">
        <v>1204</v>
      </c>
      <c r="AG4" s="421">
        <v>24</v>
      </c>
      <c r="AH4" s="421">
        <v>16</v>
      </c>
      <c r="AI4" s="421">
        <v>11</v>
      </c>
    </row>
    <row r="5" spans="1:35" ht="14.25">
      <c r="A5" s="422" t="s">
        <v>1205</v>
      </c>
      <c r="B5" s="421" t="s">
        <v>1202</v>
      </c>
      <c r="C5" s="421" t="e">
        <f>(C3+D3)/2</f>
        <v>#VALUE!</v>
      </c>
      <c r="D5" s="421">
        <f>(D3+E3)/2</f>
        <v>-2.5</v>
      </c>
      <c r="E5" s="421">
        <f>(E3+F3)/2</f>
        <v>4.5</v>
      </c>
      <c r="F5" s="421">
        <f>(F3+G3)/2</f>
        <v>9.5</v>
      </c>
      <c r="G5" s="421">
        <v>35</v>
      </c>
      <c r="I5" s="422" t="s">
        <v>1206</v>
      </c>
      <c r="J5" s="426"/>
      <c r="K5" s="427"/>
      <c r="L5" s="428"/>
      <c r="M5" s="427"/>
      <c r="O5" s="432">
        <f t="shared" ref="O5:O51" si="0">O4+1</f>
        <v>-11</v>
      </c>
      <c r="P5" s="433">
        <f>'Meteorological data'!F5</f>
        <v>0</v>
      </c>
      <c r="Q5" s="433">
        <f>'Meteorological data'!G5</f>
        <v>0</v>
      </c>
      <c r="R5" s="434">
        <v>0</v>
      </c>
      <c r="S5" s="435">
        <f>R5*((24-HP!$B$30)/24)</f>
        <v>0</v>
      </c>
      <c r="T5" s="435">
        <f t="shared" ref="T5:T31" si="1">$T$1*P5</f>
        <v>0</v>
      </c>
      <c r="U5" s="435">
        <f t="shared" ref="U5:U51" si="2">$U$1*Q5</f>
        <v>0</v>
      </c>
      <c r="V5" s="435">
        <f>IF(HP!$N$12=TRUE,(T5+U5),T5)</f>
        <v>0</v>
      </c>
      <c r="W5" s="424">
        <f>HP!$B$19+(((HP!$B$25-HP!$B$28)/2)*((HP!$B$19-O5)/(HP!$B$19-HP!$B$18)))+((AVERAGE(HP!$B$25,HP!$B$28)-HP!$B$19)*((HP!$B$19-O5)/(HP!$B$19-HP!$B$18))^(1/HP!$B$26))</f>
        <v>72.650436280202911</v>
      </c>
      <c r="X5" s="424" t="e">
        <f t="shared" ref="X5:X7" si="3">(($X$9-$N$4)/($O$9-$M$4))*(O5-$M$4)+$N$4</f>
        <v>#VALUE!</v>
      </c>
      <c r="Y5" s="435" t="e">
        <f t="shared" ref="Y5:Y15" si="4">V5/X5</f>
        <v>#VALUE!</v>
      </c>
      <c r="Z5" s="435" t="e">
        <f t="shared" ref="Z5:Z31" si="5">IF((Y5-S5)&lt;0,0,(Y5-S5))</f>
        <v>#VALUE!</v>
      </c>
      <c r="AA5" s="435">
        <f t="shared" ref="AA5:AA31" si="6">$AA$1*P5</f>
        <v>0</v>
      </c>
      <c r="AB5" s="435" t="e">
        <f t="shared" ref="AB5:AB31" si="7">X5*Z5</f>
        <v>#VALUE!</v>
      </c>
      <c r="AC5" s="436" t="e">
        <f t="shared" ref="AC5:AC31" si="8">AA5+AB5</f>
        <v>#VALUE!</v>
      </c>
      <c r="AD5" s="437"/>
      <c r="AF5" s="421">
        <v>0.2</v>
      </c>
      <c r="AG5" s="421">
        <v>0.4</v>
      </c>
      <c r="AH5" s="421">
        <v>0.53</v>
      </c>
      <c r="AI5" s="421">
        <v>0.64</v>
      </c>
    </row>
    <row r="6" spans="1:35" ht="14.25">
      <c r="A6" s="438" t="s">
        <v>1207</v>
      </c>
      <c r="C6" s="421" t="str">
        <f>IF(OR(HP!$B$12="Air to Water",HP!$B$12="Exhaust Air to Water",HP!$B$12="Air to Air"),'Heating Calc'!C3,IF(OR(HP!$B$12="Water to Water",HP!$B$12="Water to Air"),10,0))</f>
        <v xml:space="preserve"> </v>
      </c>
      <c r="D6" s="421">
        <f>IF(OR(HP!$B$12="Air to Water",HP!$B$12="Exhaust Air to Water",HP!$B$12="Air to Air"),'Heating Calc'!D3,IF(OR(HP!$B$12="Water to Water",HP!$B$12="Water to Air"),10,0))</f>
        <v>-7</v>
      </c>
      <c r="E6" s="421">
        <f>IF(OR(HP!$B$12="Air to Water",HP!$B$12="Exhaust Air to Water",HP!$B$12="Air to Air"),'Heating Calc'!E3,IF(OR(HP!$B$12="Water to Water",HP!$B$12="Water to Air"),10,0))</f>
        <v>2</v>
      </c>
      <c r="F6" s="421">
        <f>IF(OR(HP!$B$12="Air to Water",HP!$B$12="Exhaust Air to Water",HP!$B$12="Air to Air"),'Heating Calc'!F3,IF(OR(HP!$B$12="Water to Water",HP!$B$12="Water to Air"),10,0))</f>
        <v>7</v>
      </c>
      <c r="G6" s="421">
        <f>IF(OR(HP!$B$12="Air to Water",HP!$B$12="Exhaust Air to Water",HP!$B$12="Air to Air"),'Heating Calc'!G3,IF(OR(HP!$B$12="Water to Water",HP!$B$12="Water to Air"),10,0))</f>
        <v>12</v>
      </c>
      <c r="J6" s="426"/>
      <c r="K6" s="437"/>
      <c r="L6" s="428"/>
      <c r="M6" s="437"/>
      <c r="N6" s="429"/>
      <c r="O6" s="432">
        <f t="shared" si="0"/>
        <v>-10</v>
      </c>
      <c r="P6" s="433">
        <f>'Meteorological data'!F6</f>
        <v>0</v>
      </c>
      <c r="Q6" s="433">
        <f>'Meteorological data'!G6</f>
        <v>0</v>
      </c>
      <c r="R6" s="434">
        <v>0</v>
      </c>
      <c r="S6" s="435">
        <f>R6*((24-HP!$B$30)/24)</f>
        <v>0</v>
      </c>
      <c r="T6" s="435">
        <f>$T$1*P6</f>
        <v>0</v>
      </c>
      <c r="U6" s="435">
        <f t="shared" si="2"/>
        <v>0</v>
      </c>
      <c r="V6" s="435">
        <f>IF(HP!$N$12=TRUE,(T6+U6),T6)</f>
        <v>0</v>
      </c>
      <c r="W6" s="424">
        <f>HP!$B$19+(((HP!$B$25-HP!$B$28)/2)*((HP!$B$19-O6)/(HP!$B$19-HP!$B$18)))+((AVERAGE(HP!$B$25,HP!$B$28)-HP!$B$19)*((HP!$B$19-O6)/(HP!$B$19-HP!$B$18))^(1/HP!$B$26))</f>
        <v>71.098564231090364</v>
      </c>
      <c r="X6" s="424" t="e">
        <f t="shared" si="3"/>
        <v>#VALUE!</v>
      </c>
      <c r="Y6" s="435" t="e">
        <f t="shared" si="4"/>
        <v>#VALUE!</v>
      </c>
      <c r="Z6" s="435" t="e">
        <f t="shared" si="5"/>
        <v>#VALUE!</v>
      </c>
      <c r="AA6" s="435">
        <f t="shared" si="6"/>
        <v>0</v>
      </c>
      <c r="AB6" s="435" t="e">
        <f t="shared" si="7"/>
        <v>#VALUE!</v>
      </c>
      <c r="AC6" s="436" t="e">
        <f t="shared" si="8"/>
        <v>#VALUE!</v>
      </c>
      <c r="AD6" s="427"/>
      <c r="AF6" s="421">
        <v>0.25</v>
      </c>
      <c r="AG6" s="421">
        <v>0.28000000000000003</v>
      </c>
      <c r="AH6" s="421">
        <v>0.43</v>
      </c>
      <c r="AI6" s="421">
        <v>0.56999999999999995</v>
      </c>
    </row>
    <row r="7" spans="1:35">
      <c r="A7" s="421" t="s">
        <v>1208</v>
      </c>
      <c r="B7" s="421" t="s">
        <v>1209</v>
      </c>
      <c r="C7" s="424">
        <f>('Meteorological data'!E8-'Meteorological data'!E4)/'Meteorological data'!E31</f>
        <v>0</v>
      </c>
      <c r="D7" s="424">
        <f>('Meteorological data'!E14-'Meteorological data'!E8)/'Meteorological data'!E31</f>
        <v>5.8820364757993654E-3</v>
      </c>
      <c r="E7" s="424">
        <f>('Meteorological data'!E20-'Meteorological data'!E14)/'Meteorological data'!E31</f>
        <v>0.30193856141168873</v>
      </c>
      <c r="F7" s="424">
        <f>('Meteorological data'!E25-'Meteorological data'!E20)/'Meteorological data'!E31</f>
        <v>0.46292344386062445</v>
      </c>
      <c r="G7" s="424">
        <f>('Meteorological data'!E31-'Meteorological data'!E25)/'Meteorological data'!E31</f>
        <v>0.22925595825188747</v>
      </c>
      <c r="H7" s="424">
        <f t="shared" ref="H7:H12" si="9">SUM(C7:G7)</f>
        <v>1</v>
      </c>
      <c r="J7" s="426"/>
      <c r="K7" s="437"/>
      <c r="L7" s="426"/>
      <c r="M7" s="437"/>
      <c r="N7" s="422"/>
      <c r="O7" s="432">
        <f t="shared" si="0"/>
        <v>-9</v>
      </c>
      <c r="P7" s="433">
        <f>'Meteorological data'!F7</f>
        <v>0</v>
      </c>
      <c r="Q7" s="433">
        <f>'Meteorological data'!G7</f>
        <v>0</v>
      </c>
      <c r="R7" s="434">
        <v>0</v>
      </c>
      <c r="S7" s="435">
        <f>R7*((24-HP!$B$30)/24)</f>
        <v>0</v>
      </c>
      <c r="T7" s="435">
        <f t="shared" si="1"/>
        <v>0</v>
      </c>
      <c r="U7" s="435">
        <f t="shared" si="2"/>
        <v>0</v>
      </c>
      <c r="V7" s="435">
        <f>IF(HP!$N$12=TRUE,(T7+U7),T7)</f>
        <v>0</v>
      </c>
      <c r="W7" s="424">
        <f>HP!$B$19+(((HP!$B$25-HP!$B$28)/2)*((HP!$B$19-O7)/(HP!$B$19-HP!$B$18)))+((AVERAGE(HP!$B$25,HP!$B$28)-HP!$B$19)*((HP!$B$19-O7)/(HP!$B$19-HP!$B$18))^(1/HP!$B$26))</f>
        <v>69.539004548011576</v>
      </c>
      <c r="X7" s="424" t="e">
        <f t="shared" si="3"/>
        <v>#VALUE!</v>
      </c>
      <c r="Y7" s="435" t="e">
        <f t="shared" si="4"/>
        <v>#VALUE!</v>
      </c>
      <c r="Z7" s="435" t="e">
        <f t="shared" si="5"/>
        <v>#VALUE!</v>
      </c>
      <c r="AA7" s="435">
        <f t="shared" si="6"/>
        <v>0</v>
      </c>
      <c r="AB7" s="435" t="e">
        <f t="shared" si="7"/>
        <v>#VALUE!</v>
      </c>
      <c r="AC7" s="436" t="e">
        <f t="shared" si="8"/>
        <v>#VALUE!</v>
      </c>
      <c r="AD7" s="437"/>
      <c r="AF7" s="421">
        <v>0.3</v>
      </c>
      <c r="AG7" s="421">
        <v>0.19</v>
      </c>
      <c r="AH7" s="421">
        <v>0.34</v>
      </c>
      <c r="AI7" s="421">
        <v>0.49</v>
      </c>
    </row>
    <row r="8" spans="1:35">
      <c r="A8" s="422" t="s">
        <v>1210</v>
      </c>
      <c r="B8" s="421" t="s">
        <v>1211</v>
      </c>
      <c r="C8" s="424">
        <f>IF(HP!$B$5="No",HP!$B$17*C7,((HP!$B$17*HP!$B$8/HP!$B$7))*C7)</f>
        <v>0</v>
      </c>
      <c r="D8" s="424">
        <f>IF(HP!$B$5="No",HP!$B$17*D7,((HP!$B$17*HP!$B$8/HP!$B$7))*D7)</f>
        <v>16.594129731363701</v>
      </c>
      <c r="E8" s="424">
        <f>IF(HP!$B$5="No",HP!$B$17*E7,((HP!$B$17*HP!$B$8/HP!$B$7))*E7)</f>
        <v>851.81512892369096</v>
      </c>
      <c r="F8" s="424">
        <f>IF(HP!$B$5="No",HP!$B$17*F7,((HP!$B$17*HP!$B$8/HP!$B$7))*F7)</f>
        <v>1305.9782466018983</v>
      </c>
      <c r="G8" s="424">
        <f>IF(HP!$B$5="No",HP!$B$17*G7,((HP!$B$17*HP!$B$8/HP!$B$7))*G7)</f>
        <v>646.76632465168768</v>
      </c>
      <c r="H8" s="424">
        <f t="shared" si="9"/>
        <v>2821.1538299086405</v>
      </c>
      <c r="J8" s="426"/>
      <c r="K8" s="427"/>
      <c r="L8" s="428"/>
      <c r="M8" s="427"/>
      <c r="O8" s="432">
        <f t="shared" si="0"/>
        <v>-8</v>
      </c>
      <c r="P8" s="433">
        <f>'Meteorological data'!F8</f>
        <v>0</v>
      </c>
      <c r="Q8" s="433">
        <f>'Meteorological data'!G8</f>
        <v>0</v>
      </c>
      <c r="R8" s="434">
        <v>0</v>
      </c>
      <c r="S8" s="435">
        <f>R8*((24-HP!$B$30)/24)</f>
        <v>0</v>
      </c>
      <c r="T8" s="435">
        <f t="shared" si="1"/>
        <v>0</v>
      </c>
      <c r="U8" s="435">
        <f t="shared" si="2"/>
        <v>0</v>
      </c>
      <c r="V8" s="435">
        <f>IF(HP!$N$12=TRUE,(T8+U8),T8)</f>
        <v>0</v>
      </c>
      <c r="W8" s="424">
        <f>HP!$B$19+(((HP!$B$25-HP!$B$28)/2)*((HP!$B$19-O8)/(HP!$B$19-HP!$B$18)))+((AVERAGE(HP!$B$25,HP!$B$28)-HP!$B$19)*((HP!$B$19-O8)/(HP!$B$19-HP!$B$18))^(1/HP!$B$26))</f>
        <v>67.971432916177321</v>
      </c>
      <c r="X8" s="424" t="e">
        <f>(($X$9-$N$4)/($O$9-$M$4))*(O8-$M$4)+$N$4</f>
        <v>#VALUE!</v>
      </c>
      <c r="Y8" s="435" t="e">
        <f t="shared" si="4"/>
        <v>#VALUE!</v>
      </c>
      <c r="Z8" s="435" t="e">
        <f t="shared" si="5"/>
        <v>#VALUE!</v>
      </c>
      <c r="AA8" s="435">
        <f t="shared" si="6"/>
        <v>0</v>
      </c>
      <c r="AB8" s="435" t="e">
        <f t="shared" si="7"/>
        <v>#VALUE!</v>
      </c>
      <c r="AC8" s="436" t="e">
        <f t="shared" si="8"/>
        <v>#VALUE!</v>
      </c>
      <c r="AD8" s="437"/>
      <c r="AF8" s="421">
        <v>0.35</v>
      </c>
      <c r="AG8" s="421">
        <v>0.12</v>
      </c>
      <c r="AH8" s="421">
        <v>0.27</v>
      </c>
      <c r="AI8" s="421">
        <v>0.42</v>
      </c>
    </row>
    <row r="9" spans="1:35">
      <c r="A9" s="422" t="s">
        <v>1188</v>
      </c>
      <c r="B9" s="421" t="s">
        <v>1212</v>
      </c>
      <c r="C9" s="421">
        <f>('Meteorological data'!C8-'Meteorological data'!C4)</f>
        <v>0</v>
      </c>
      <c r="D9" s="421">
        <f>('Meteorological data'!C14-'Meteorological data'!C8)</f>
        <v>18</v>
      </c>
      <c r="E9" s="421">
        <f>('Meteorological data'!C20-'Meteorological data'!C14)</f>
        <v>1247</v>
      </c>
      <c r="F9" s="421">
        <f>('Meteorological data'!C25-'Meteorological data'!C20)</f>
        <v>2933</v>
      </c>
      <c r="G9" s="421">
        <f>('Meteorological data'!C51-'Meteorological data'!C25)</f>
        <v>4562</v>
      </c>
      <c r="H9" s="424">
        <f t="shared" si="9"/>
        <v>8760</v>
      </c>
      <c r="J9" s="426"/>
      <c r="K9" s="426"/>
      <c r="L9" s="428"/>
      <c r="M9" s="426"/>
      <c r="O9" s="439">
        <f t="shared" si="0"/>
        <v>-7</v>
      </c>
      <c r="P9" s="440">
        <f>'Meteorological data'!F9</f>
        <v>0</v>
      </c>
      <c r="Q9" s="440">
        <f>'Meteorological data'!G9</f>
        <v>0</v>
      </c>
      <c r="R9" s="441">
        <v>0</v>
      </c>
      <c r="S9" s="442">
        <f>R9*((24-HP!$B$30)/24)</f>
        <v>0</v>
      </c>
      <c r="T9" s="442">
        <f t="shared" si="1"/>
        <v>0</v>
      </c>
      <c r="U9" s="442">
        <f t="shared" si="2"/>
        <v>0</v>
      </c>
      <c r="V9" s="435">
        <f>IF(HP!$N$12=TRUE,(T9+U9),T9)</f>
        <v>0</v>
      </c>
      <c r="W9" s="443">
        <f>HP!$B$19+(((HP!$B$25-HP!$B$28)/2)*((HP!$B$19-O9)/(HP!$B$19-HP!$B$18)))+((AVERAGE(HP!$B$25,HP!$B$28)-HP!$B$19)*((HP!$B$19-O9)/(HP!$B$19-HP!$B$18))^(1/HP!$B$26))</f>
        <v>66.395498652959873</v>
      </c>
      <c r="X9" s="443">
        <f>D41</f>
        <v>0</v>
      </c>
      <c r="Y9" s="442" t="e">
        <f t="shared" si="4"/>
        <v>#DIV/0!</v>
      </c>
      <c r="Z9" s="442" t="e">
        <f t="shared" si="5"/>
        <v>#DIV/0!</v>
      </c>
      <c r="AA9" s="442">
        <f t="shared" si="6"/>
        <v>0</v>
      </c>
      <c r="AB9" s="442" t="e">
        <f t="shared" si="7"/>
        <v>#DIV/0!</v>
      </c>
      <c r="AC9" s="444" t="e">
        <f t="shared" si="8"/>
        <v>#DIV/0!</v>
      </c>
      <c r="AD9" s="437"/>
      <c r="AF9" s="421">
        <v>0.4</v>
      </c>
      <c r="AG9" s="421">
        <v>0.06</v>
      </c>
      <c r="AH9" s="421">
        <v>0.2</v>
      </c>
      <c r="AI9" s="421">
        <v>0.35</v>
      </c>
    </row>
    <row r="10" spans="1:35">
      <c r="A10" s="422" t="s">
        <v>1189</v>
      </c>
      <c r="B10" s="421" t="s">
        <v>1213</v>
      </c>
      <c r="C10" s="421">
        <f>C9*((24-HP!$B$30)/24)</f>
        <v>0</v>
      </c>
      <c r="D10" s="421">
        <f>D9*((24-HP!$B$30)/24)</f>
        <v>18</v>
      </c>
      <c r="E10" s="421">
        <f>E9*((24-HP!$B$30)/24)</f>
        <v>1247</v>
      </c>
      <c r="F10" s="421">
        <f>F9*((24-HP!$B$30)/24)</f>
        <v>2933</v>
      </c>
      <c r="G10" s="421">
        <f>G9*((24-HP!$B$30)/24)</f>
        <v>4562</v>
      </c>
      <c r="H10" s="424">
        <f t="shared" si="9"/>
        <v>8760</v>
      </c>
      <c r="J10" s="426"/>
      <c r="K10" s="427"/>
      <c r="L10" s="428"/>
      <c r="M10" s="427"/>
      <c r="O10" s="432">
        <f t="shared" si="0"/>
        <v>-6</v>
      </c>
      <c r="P10" s="433">
        <f>'Meteorological data'!F10</f>
        <v>0</v>
      </c>
      <c r="Q10" s="433">
        <f>'Meteorological data'!G10</f>
        <v>0</v>
      </c>
      <c r="R10" s="434">
        <v>0</v>
      </c>
      <c r="S10" s="435">
        <f>R10*((24-HP!$B$30)/24)</f>
        <v>0</v>
      </c>
      <c r="T10" s="435">
        <f t="shared" si="1"/>
        <v>0</v>
      </c>
      <c r="U10" s="435">
        <f t="shared" si="2"/>
        <v>0</v>
      </c>
      <c r="V10" s="435">
        <f>IF(HP!$N$12=TRUE,(T10+U10),T10)</f>
        <v>0</v>
      </c>
      <c r="W10" s="424">
        <f>HP!$B$19+(((HP!$B$25-HP!$B$28)/2)*((HP!$B$19-O10)/(HP!$B$19-HP!$B$18)))+((AVERAGE(HP!$B$25,HP!$B$28)-HP!$B$19)*((HP!$B$19-O10)/(HP!$B$19-HP!$B$18))^(1/HP!$B$26))</f>
        <v>64.810821451748069</v>
      </c>
      <c r="X10" s="424">
        <f>(($X$18-$X$9)/($O$18-$O$9))*(O10-$O$9)+$X$9</f>
        <v>0</v>
      </c>
      <c r="Y10" s="435" t="e">
        <f t="shared" si="4"/>
        <v>#DIV/0!</v>
      </c>
      <c r="Z10" s="435" t="e">
        <f t="shared" si="5"/>
        <v>#DIV/0!</v>
      </c>
      <c r="AA10" s="435">
        <f t="shared" si="6"/>
        <v>0</v>
      </c>
      <c r="AB10" s="435" t="e">
        <f t="shared" si="7"/>
        <v>#DIV/0!</v>
      </c>
      <c r="AC10" s="436" t="e">
        <f t="shared" si="8"/>
        <v>#DIV/0!</v>
      </c>
      <c r="AD10" s="437"/>
      <c r="AF10" s="421">
        <v>0.45</v>
      </c>
      <c r="AG10" s="421">
        <v>0.03</v>
      </c>
      <c r="AH10" s="421">
        <v>0.14000000000000001</v>
      </c>
      <c r="AI10" s="421">
        <v>0.28999999999999998</v>
      </c>
    </row>
    <row r="11" spans="1:35">
      <c r="A11" s="421" t="s">
        <v>1214</v>
      </c>
      <c r="B11" s="421" t="s">
        <v>1215</v>
      </c>
      <c r="C11" s="424">
        <f>C10/$H$10</f>
        <v>0</v>
      </c>
      <c r="D11" s="424">
        <f>D10/$H$10</f>
        <v>2.054794520547945E-3</v>
      </c>
      <c r="E11" s="424">
        <f>E10/$H$10</f>
        <v>0.14235159817351598</v>
      </c>
      <c r="F11" s="424">
        <f>F10/$H$10</f>
        <v>0.3348173515981735</v>
      </c>
      <c r="G11" s="424">
        <f>G10/$H$10</f>
        <v>0.52077625570776254</v>
      </c>
      <c r="H11" s="424">
        <f t="shared" si="9"/>
        <v>1</v>
      </c>
      <c r="J11" s="428"/>
      <c r="K11" s="437"/>
      <c r="L11" s="428"/>
      <c r="M11" s="437"/>
      <c r="O11" s="432">
        <f t="shared" si="0"/>
        <v>-5</v>
      </c>
      <c r="P11" s="433">
        <f>'Meteorological data'!F11</f>
        <v>0</v>
      </c>
      <c r="Q11" s="433">
        <f>'Meteorological data'!G11</f>
        <v>0</v>
      </c>
      <c r="R11" s="434">
        <v>0</v>
      </c>
      <c r="S11" s="435">
        <f>R11*((24-HP!$B$30)/24)</f>
        <v>0</v>
      </c>
      <c r="T11" s="435">
        <f t="shared" si="1"/>
        <v>0</v>
      </c>
      <c r="U11" s="435">
        <f t="shared" si="2"/>
        <v>0</v>
      </c>
      <c r="V11" s="435">
        <f>IF(HP!$N$12=TRUE,(T11+U11),T11)</f>
        <v>0</v>
      </c>
      <c r="W11" s="424">
        <f>HP!$B$19+(((HP!$B$25-HP!$B$28)/2)*((HP!$B$19-O11)/(HP!$B$19-HP!$B$18)))+((AVERAGE(HP!$B$25,HP!$B$28)-HP!$B$19)*((HP!$B$19-O11)/(HP!$B$19-HP!$B$18))^(1/HP!$B$26))</f>
        <v>63.216987575116917</v>
      </c>
      <c r="X11" s="424">
        <f t="shared" ref="X11:X17" si="10">(($X$18-$X$9)/($O$18-$O$9))*(O11-$O$9)+$X$9</f>
        <v>0</v>
      </c>
      <c r="Y11" s="435" t="e">
        <f t="shared" si="4"/>
        <v>#DIV/0!</v>
      </c>
      <c r="Z11" s="435" t="e">
        <f t="shared" si="5"/>
        <v>#DIV/0!</v>
      </c>
      <c r="AA11" s="435">
        <f t="shared" si="6"/>
        <v>0</v>
      </c>
      <c r="AB11" s="435" t="e">
        <f t="shared" si="7"/>
        <v>#DIV/0!</v>
      </c>
      <c r="AC11" s="436" t="e">
        <f t="shared" si="8"/>
        <v>#DIV/0!</v>
      </c>
      <c r="AD11" s="437"/>
      <c r="AF11" s="421">
        <v>0.5</v>
      </c>
      <c r="AG11" s="421">
        <v>0.01</v>
      </c>
      <c r="AH11" s="421">
        <v>0.09</v>
      </c>
      <c r="AI11" s="421">
        <v>0.24</v>
      </c>
    </row>
    <row r="12" spans="1:35">
      <c r="A12" s="422" t="s">
        <v>1216</v>
      </c>
      <c r="B12" s="421" t="s">
        <v>1217</v>
      </c>
      <c r="C12" s="424">
        <f>IF(HP!$B$5="No",HP!$B$69*C11,((HP!$B$69*HP!$B$8/HP!$B$7))*C11)</f>
        <v>0</v>
      </c>
      <c r="D12" s="424">
        <f>IF(HP!$B$5="No",HP!$B$69*D11,((HP!$B$69*HP!$B$8/HP!$B$7))*D11)</f>
        <v>5.1135831162354881</v>
      </c>
      <c r="E12" s="424">
        <f>IF(HP!$B$5="No",HP!$B$69*E11,((HP!$B$69*HP!$B$8/HP!$B$7))*E11)</f>
        <v>354.25767477475858</v>
      </c>
      <c r="F12" s="424">
        <f>IF(HP!$B$5="No",HP!$B$69*F11,((HP!$B$69*HP!$B$8/HP!$B$7))*F11)</f>
        <v>833.22995999548266</v>
      </c>
      <c r="G12" s="424">
        <f>IF(HP!$B$5="No",HP!$B$69*G11,((HP!$B$69*HP!$B$8/HP!$B$7))*G11)</f>
        <v>1296.0092320147944</v>
      </c>
      <c r="H12" s="424">
        <f t="shared" si="9"/>
        <v>2488.6104499012708</v>
      </c>
      <c r="J12" s="426"/>
      <c r="K12" s="427"/>
      <c r="L12" s="428"/>
      <c r="M12" s="427"/>
      <c r="N12" s="422"/>
      <c r="O12" s="432">
        <f t="shared" si="0"/>
        <v>-4</v>
      </c>
      <c r="P12" s="433">
        <f>'Meteorological data'!F12</f>
        <v>0</v>
      </c>
      <c r="Q12" s="433">
        <f>'Meteorological data'!G12</f>
        <v>0</v>
      </c>
      <c r="R12" s="434">
        <v>0</v>
      </c>
      <c r="S12" s="435">
        <f>R12*((24-HP!$B$30)/24)</f>
        <v>0</v>
      </c>
      <c r="T12" s="435">
        <f t="shared" si="1"/>
        <v>0</v>
      </c>
      <c r="U12" s="435">
        <f t="shared" si="2"/>
        <v>0</v>
      </c>
      <c r="V12" s="435">
        <f>IF(HP!$N$12=TRUE,(T12+U12),T12)</f>
        <v>0</v>
      </c>
      <c r="W12" s="424">
        <f>HP!$B$19+(((HP!$B$25-HP!$B$28)/2)*((HP!$B$19-O12)/(HP!$B$19-HP!$B$18)))+((AVERAGE(HP!$B$25,HP!$B$28)-HP!$B$19)*((HP!$B$19-O12)/(HP!$B$19-HP!$B$18))^(1/HP!$B$26))</f>
        <v>61.61354537690822</v>
      </c>
      <c r="X12" s="424">
        <f t="shared" si="10"/>
        <v>0</v>
      </c>
      <c r="Y12" s="435" t="e">
        <f t="shared" si="4"/>
        <v>#DIV/0!</v>
      </c>
      <c r="Z12" s="435" t="e">
        <f t="shared" si="5"/>
        <v>#DIV/0!</v>
      </c>
      <c r="AA12" s="435">
        <f t="shared" si="6"/>
        <v>0</v>
      </c>
      <c r="AB12" s="435" t="e">
        <f t="shared" si="7"/>
        <v>#DIV/0!</v>
      </c>
      <c r="AC12" s="436" t="e">
        <f t="shared" si="8"/>
        <v>#DIV/0!</v>
      </c>
      <c r="AD12" s="437"/>
      <c r="AF12" s="421">
        <v>0.55000000000000004</v>
      </c>
      <c r="AG12" s="421">
        <v>0</v>
      </c>
      <c r="AH12" s="421">
        <v>0.06</v>
      </c>
      <c r="AI12" s="421">
        <v>0.19</v>
      </c>
    </row>
    <row r="13" spans="1:35">
      <c r="A13" s="421" t="s">
        <v>2</v>
      </c>
      <c r="B13" s="421" t="s">
        <v>2</v>
      </c>
      <c r="J13" s="426"/>
      <c r="K13" s="437"/>
      <c r="L13" s="428"/>
      <c r="M13" s="437"/>
      <c r="O13" s="432">
        <f t="shared" si="0"/>
        <v>-3</v>
      </c>
      <c r="P13" s="433">
        <f>'Meteorological data'!F13</f>
        <v>1.3629108907339993E-3</v>
      </c>
      <c r="Q13" s="433">
        <f>'Meteorological data'!G13</f>
        <v>4.5662100456621003E-4</v>
      </c>
      <c r="R13" s="434">
        <v>4</v>
      </c>
      <c r="S13" s="435">
        <f>R13*((24-HP!$B$30)/24)</f>
        <v>4</v>
      </c>
      <c r="T13" s="435">
        <f t="shared" si="1"/>
        <v>-0.17302415756482856</v>
      </c>
      <c r="U13" s="435">
        <f t="shared" si="2"/>
        <v>1.1363518036078861</v>
      </c>
      <c r="V13" s="435">
        <f>IF(HP!$N$12=TRUE,(T13+U13),T13)</f>
        <v>-0.17302415756482856</v>
      </c>
      <c r="W13" s="424">
        <f>HP!$B$19+(((HP!$B$25-HP!$B$28)/2)*((HP!$B$19-O13)/(HP!$B$19-HP!$B$18)))+((AVERAGE(HP!$B$25,HP!$B$28)-HP!$B$19)*((HP!$B$19-O13)/(HP!$B$19-HP!$B$18))^(1/HP!$B$26))</f>
        <v>60</v>
      </c>
      <c r="X13" s="424">
        <f t="shared" si="10"/>
        <v>0</v>
      </c>
      <c r="Y13" s="435" t="e">
        <f>V13/X13</f>
        <v>#DIV/0!</v>
      </c>
      <c r="Z13" s="435" t="e">
        <f>IF((Y13-S13)&lt;0,0,(Y13-S13))</f>
        <v>#DIV/0!</v>
      </c>
      <c r="AA13" s="435">
        <f t="shared" si="6"/>
        <v>4.0180054367832474</v>
      </c>
      <c r="AB13" s="435" t="e">
        <f t="shared" si="7"/>
        <v>#DIV/0!</v>
      </c>
      <c r="AC13" s="436" t="e">
        <f t="shared" si="8"/>
        <v>#DIV/0!</v>
      </c>
      <c r="AD13" s="437"/>
      <c r="AF13" s="421">
        <v>0.6</v>
      </c>
      <c r="AG13" s="421">
        <v>0</v>
      </c>
      <c r="AH13" s="421">
        <v>0.03</v>
      </c>
      <c r="AI13" s="421">
        <v>0.15</v>
      </c>
    </row>
    <row r="14" spans="1:35">
      <c r="A14" s="423" t="s">
        <v>1218</v>
      </c>
      <c r="C14" s="424" t="str">
        <f>HP!B15</f>
        <v xml:space="preserve"> </v>
      </c>
      <c r="D14" s="421">
        <v>-7</v>
      </c>
      <c r="E14" s="421">
        <v>2</v>
      </c>
      <c r="F14" s="421">
        <v>7</v>
      </c>
      <c r="G14" s="421">
        <v>12</v>
      </c>
      <c r="J14" s="426"/>
      <c r="K14" s="437"/>
      <c r="L14" s="428"/>
      <c r="M14" s="437"/>
      <c r="O14" s="432">
        <f t="shared" si="0"/>
        <v>-2</v>
      </c>
      <c r="P14" s="433">
        <f>'Meteorological data'!F14</f>
        <v>4.5191255850653657E-3</v>
      </c>
      <c r="Q14" s="433">
        <f>'Meteorological data'!G14</f>
        <v>1.5981735159817352E-3</v>
      </c>
      <c r="R14" s="434">
        <v>14</v>
      </c>
      <c r="S14" s="435">
        <f>R14*((24-HP!$B$30)/24)</f>
        <v>14</v>
      </c>
      <c r="T14" s="435">
        <f t="shared" si="1"/>
        <v>-0.57371168034653675</v>
      </c>
      <c r="U14" s="435">
        <f>$U$1*Q14</f>
        <v>3.9772313126276022</v>
      </c>
      <c r="V14" s="435">
        <f>IF(HP!$N$12=TRUE,(T14+U14),T14)</f>
        <v>-0.57371168034653675</v>
      </c>
      <c r="W14" s="424">
        <f>HP!$B$19+(((HP!$B$25-HP!$B$28)/2)*((HP!$B$19-O14)/(HP!$B$19-HP!$B$18)))+((AVERAGE(HP!$B$25,HP!$B$28)-HP!$B$19)*((HP!$B$19-O14)/(HP!$B$19-HP!$B$18))^(1/HP!$B$26))</f>
        <v>58.375807052843015</v>
      </c>
      <c r="X14" s="424">
        <f t="shared" si="10"/>
        <v>0</v>
      </c>
      <c r="Y14" s="435" t="e">
        <f>V14/X14</f>
        <v>#DIV/0!</v>
      </c>
      <c r="Z14" s="435" t="e">
        <f>IF((Y14-S14)&lt;0,0,(Y14-S14))</f>
        <v>#DIV/0!</v>
      </c>
      <c r="AA14" s="435">
        <f t="shared" si="6"/>
        <v>13.322860132491821</v>
      </c>
      <c r="AB14" s="435" t="e">
        <f t="shared" si="7"/>
        <v>#DIV/0!</v>
      </c>
      <c r="AC14" s="436" t="e">
        <f t="shared" si="8"/>
        <v>#DIV/0!</v>
      </c>
      <c r="AD14" s="437"/>
      <c r="AF14" s="421">
        <v>0.65</v>
      </c>
      <c r="AG14" s="421">
        <v>0</v>
      </c>
      <c r="AH14" s="421">
        <v>0.02</v>
      </c>
      <c r="AI14" s="421">
        <v>0.11</v>
      </c>
    </row>
    <row r="15" spans="1:35" ht="15.75">
      <c r="A15" s="422" t="s">
        <v>1219</v>
      </c>
      <c r="B15" s="422" t="s">
        <v>1220</v>
      </c>
      <c r="C15" s="421">
        <f>IF(HP!C39="Yes",IF(HP!$B$13="Variable Outlet",35,35),0)</f>
        <v>0</v>
      </c>
      <c r="D15" s="421">
        <f>IF(HP!C39="Yes",IF(HP!$B$13="Variable Outlet",34,35),0)</f>
        <v>0</v>
      </c>
      <c r="E15" s="421">
        <f>IF(HP!C39="Yes",IF(HP!$B$13="Variable Outlet",30,35),0)</f>
        <v>0</v>
      </c>
      <c r="F15" s="421">
        <f>IF(HP!C39="Yes",IF(HP!$B$13="Variable Outlet",27,35),0)</f>
        <v>0</v>
      </c>
      <c r="G15" s="421">
        <f>IF(HP!C39="Yes",IF(HP!$B$13="Variable Outlet",24,35),0)</f>
        <v>0</v>
      </c>
      <c r="I15" s="322"/>
      <c r="J15" s="426"/>
      <c r="K15" s="427"/>
      <c r="L15" s="428"/>
      <c r="M15" s="427"/>
      <c r="O15" s="432">
        <f t="shared" si="0"/>
        <v>-1</v>
      </c>
      <c r="P15" s="433">
        <f>'Meteorological data'!F15</f>
        <v>1.3413912450908309E-2</v>
      </c>
      <c r="Q15" s="433">
        <f>'Meteorological data'!G15</f>
        <v>5.0228310502283104E-3</v>
      </c>
      <c r="R15" s="434">
        <v>44</v>
      </c>
      <c r="S15" s="435">
        <f>R15*((24-HP!$B$30)/24)</f>
        <v>44</v>
      </c>
      <c r="T15" s="435">
        <f t="shared" si="1"/>
        <v>-1.7029219718222601</v>
      </c>
      <c r="U15" s="435">
        <f t="shared" si="2"/>
        <v>12.499869839686749</v>
      </c>
      <c r="V15" s="435">
        <f>IF(HP!$N$12=TRUE,(T15+U15),T15)</f>
        <v>-1.7029219718222601</v>
      </c>
      <c r="W15" s="424">
        <f>HP!$B$19+(((HP!$B$25-HP!$B$28)/2)*((HP!$B$19-O15)/(HP!$B$19-HP!$B$18)))+((AVERAGE(HP!$B$25,HP!$B$28)-HP!$B$19)*((HP!$B$19-O15)/(HP!$B$19-HP!$B$18))^(1/HP!$B$26))</f>
        <v>56.740365008951727</v>
      </c>
      <c r="X15" s="424">
        <f t="shared" si="10"/>
        <v>0</v>
      </c>
      <c r="Y15" s="435" t="e">
        <f t="shared" si="4"/>
        <v>#DIV/0!</v>
      </c>
      <c r="Z15" s="435" t="e">
        <f>IF((Y15-S15)&lt;0,0,(Y15-S15))</f>
        <v>#DIV/0!</v>
      </c>
      <c r="AA15" s="435">
        <f t="shared" si="6"/>
        <v>39.545632456761439</v>
      </c>
      <c r="AB15" s="435" t="e">
        <f t="shared" si="7"/>
        <v>#DIV/0!</v>
      </c>
      <c r="AC15" s="436" t="e">
        <f t="shared" si="8"/>
        <v>#DIV/0!</v>
      </c>
      <c r="AD15" s="437"/>
      <c r="AF15" s="421">
        <v>0.7</v>
      </c>
      <c r="AG15" s="421">
        <v>0</v>
      </c>
      <c r="AH15" s="421">
        <v>0.01</v>
      </c>
      <c r="AI15" s="421">
        <v>0.09</v>
      </c>
    </row>
    <row r="16" spans="1:35" ht="15.75">
      <c r="A16" s="422" t="s">
        <v>1221</v>
      </c>
      <c r="B16" s="422" t="s">
        <v>1220</v>
      </c>
      <c r="C16" s="421">
        <f>IF(HP!C40="Yes",IF(HP!$B$13="Variable Outlet",45,45),0)</f>
        <v>0</v>
      </c>
      <c r="D16" s="421">
        <f>IF(HP!C40="Yes",IF(HP!$B$13="Variable Outlet",43,45),0)</f>
        <v>0</v>
      </c>
      <c r="E16" s="421">
        <f>IF(HP!C40="Yes",IF(HP!$B$13="Variable Outlet",37,45),0)</f>
        <v>0</v>
      </c>
      <c r="F16" s="421">
        <f>IF(HP!C40="Yes",IF(HP!$B$13="Variable Outlet",33,45),0)</f>
        <v>0</v>
      </c>
      <c r="G16" s="421">
        <f>IF(HP!C40="Yes",IF(HP!$B$13="Variable Outlet",28,45),0)</f>
        <v>0</v>
      </c>
      <c r="I16" s="322"/>
      <c r="J16" s="426"/>
      <c r="K16" s="437"/>
      <c r="L16" s="428"/>
      <c r="M16" s="437"/>
      <c r="O16" s="432">
        <f t="shared" si="0"/>
        <v>0</v>
      </c>
      <c r="P16" s="433">
        <f>'Meteorological data'!F16</f>
        <v>3.2136004160464825E-2</v>
      </c>
      <c r="Q16" s="433">
        <f>'Meteorological data'!G16</f>
        <v>1.2785388127853882E-2</v>
      </c>
      <c r="R16" s="434">
        <v>112</v>
      </c>
      <c r="S16" s="435">
        <f>R16*((24-HP!$B$30)/24)</f>
        <v>112</v>
      </c>
      <c r="T16" s="435">
        <f t="shared" si="1"/>
        <v>-4.0797275046864838</v>
      </c>
      <c r="U16" s="435">
        <f>$U$1*Q16</f>
        <v>31.817850501020818</v>
      </c>
      <c r="V16" s="435">
        <f>IF(HP!$N$12=TRUE,(T16+U16),T16)</f>
        <v>-4.0797275046864838</v>
      </c>
      <c r="W16" s="424">
        <f>HP!$B$19+(((HP!$B$25-HP!$B$28)/2)*((HP!$B$19-O16)/(HP!$B$19-HP!$B$18)))+((AVERAGE(HP!$B$25,HP!$B$28)-HP!$B$19)*((HP!$B$19-O16)/(HP!$B$19-HP!$B$18))^(1/HP!$B$26))</f>
        <v>55.093005993125821</v>
      </c>
      <c r="X16" s="424">
        <f t="shared" si="10"/>
        <v>0</v>
      </c>
      <c r="Y16" s="435" t="e">
        <f>V16/X16</f>
        <v>#DIV/0!</v>
      </c>
      <c r="Z16" s="435" t="e">
        <f>IF((Y16-S16)&lt;0,0,(Y16-S16))</f>
        <v>#DIV/0!</v>
      </c>
      <c r="AA16" s="435">
        <f t="shared" si="6"/>
        <v>94.740338719941832</v>
      </c>
      <c r="AB16" s="435" t="e">
        <f t="shared" si="7"/>
        <v>#DIV/0!</v>
      </c>
      <c r="AC16" s="436" t="e">
        <f t="shared" si="8"/>
        <v>#DIV/0!</v>
      </c>
      <c r="AD16" s="437"/>
      <c r="AF16" s="421">
        <v>0.75</v>
      </c>
      <c r="AG16" s="421">
        <v>0</v>
      </c>
      <c r="AH16" s="421">
        <v>0</v>
      </c>
      <c r="AI16" s="421">
        <v>0.05</v>
      </c>
    </row>
    <row r="17" spans="1:35" ht="27.75" customHeight="1">
      <c r="A17" s="422" t="s">
        <v>1222</v>
      </c>
      <c r="B17" s="422" t="s">
        <v>1220</v>
      </c>
      <c r="C17" s="421">
        <f>IF(HP!$B$13="Variable Outlet",55,55)</f>
        <v>55</v>
      </c>
      <c r="D17" s="421">
        <f>IF(HP!$B$13="Variable Outlet",52,55)</f>
        <v>52</v>
      </c>
      <c r="E17" s="421">
        <f>IF(HP!$B$13="Variable Outlet",42,55)</f>
        <v>42</v>
      </c>
      <c r="F17" s="421">
        <f>IF(HP!$B$13="Variable Outlet",36,55)</f>
        <v>36</v>
      </c>
      <c r="G17" s="421">
        <f>IF(HP!$B$13="Variable Outlet",30,55)</f>
        <v>30</v>
      </c>
      <c r="I17" s="322"/>
      <c r="J17" s="426"/>
      <c r="K17" s="437"/>
      <c r="L17" s="428"/>
      <c r="M17" s="437"/>
      <c r="O17" s="432">
        <f t="shared" si="0"/>
        <v>1</v>
      </c>
      <c r="P17" s="433">
        <f>'Meteorological data'!F17</f>
        <v>3.927335329878235E-2</v>
      </c>
      <c r="Q17" s="433">
        <f>'Meteorological data'!G17</f>
        <v>1.6666666666666666E-2</v>
      </c>
      <c r="R17" s="434">
        <v>146</v>
      </c>
      <c r="S17" s="435">
        <f>R17*((24-HP!$B$30)/24)</f>
        <v>146</v>
      </c>
      <c r="T17" s="435">
        <f t="shared" si="1"/>
        <v>-4.9858276982496657</v>
      </c>
      <c r="U17" s="435">
        <f t="shared" si="2"/>
        <v>41.476840831687845</v>
      </c>
      <c r="V17" s="435">
        <f>IF(HP!$N$12=TRUE,(T17+U17),T17)</f>
        <v>-4.9858276982496657</v>
      </c>
      <c r="W17" s="424">
        <f>HP!$B$19+(((HP!$B$25-HP!$B$28)/2)*((HP!$B$19-O17)/(HP!$B$19-HP!$B$18)))+((AVERAGE(HP!$B$25,HP!$B$28)-HP!$B$19)*((HP!$B$19-O17)/(HP!$B$19-HP!$B$18))^(1/HP!$B$26))</f>
        <v>53.432984506801894</v>
      </c>
      <c r="X17" s="424">
        <f t="shared" si="10"/>
        <v>0</v>
      </c>
      <c r="Y17" s="435" t="e">
        <f t="shared" ref="Y17:Y31" si="11">V17/X17</f>
        <v>#DIV/0!</v>
      </c>
      <c r="Z17" s="435" t="e">
        <f>IF((Y17-S17)&lt;0,0,(Y17-S17))</f>
        <v>#DIV/0!</v>
      </c>
      <c r="AA17" s="435">
        <f t="shared" si="6"/>
        <v>115.78199877046464</v>
      </c>
      <c r="AB17" s="435" t="e">
        <f t="shared" si="7"/>
        <v>#DIV/0!</v>
      </c>
      <c r="AC17" s="436" t="e">
        <f t="shared" si="8"/>
        <v>#DIV/0!</v>
      </c>
      <c r="AD17" s="437"/>
      <c r="AF17" s="421">
        <v>0.8</v>
      </c>
      <c r="AG17" s="421">
        <v>0</v>
      </c>
      <c r="AH17" s="421">
        <v>0</v>
      </c>
      <c r="AI17" s="421">
        <v>0.05</v>
      </c>
    </row>
    <row r="18" spans="1:35" ht="15.75">
      <c r="A18" s="422" t="s">
        <v>1223</v>
      </c>
      <c r="B18" s="422" t="s">
        <v>1220</v>
      </c>
      <c r="C18" s="421">
        <f>IF(HP!C41="Yes",65,0)</f>
        <v>0</v>
      </c>
      <c r="D18" s="421">
        <f>IF(HP!C41="Yes",IF(HP!$B$13="Variable Outlet",61,65),0)</f>
        <v>0</v>
      </c>
      <c r="E18" s="421">
        <f>IF(HP!C41="Yes",IF(HP!$B$13="Variable Outlet",49,65),0)</f>
        <v>0</v>
      </c>
      <c r="F18" s="421">
        <f>IF(HP!C41="Yes",IF(HP!$B$13="Variable Outlet",41,65),0)</f>
        <v>0</v>
      </c>
      <c r="G18" s="421">
        <f>IF(HP!C41="Yes",IF(HP!$B$13="Variable Outlet",32,65),0)</f>
        <v>0</v>
      </c>
      <c r="I18" s="323"/>
      <c r="J18" s="426"/>
      <c r="K18" s="427"/>
      <c r="L18" s="428"/>
      <c r="M18" s="427"/>
      <c r="O18" s="439">
        <f t="shared" si="0"/>
        <v>2</v>
      </c>
      <c r="P18" s="440">
        <f>'Meteorological data'!F18</f>
        <v>5.5735882215806179E-2</v>
      </c>
      <c r="Q18" s="440">
        <f>'Meteorological data'!G18</f>
        <v>2.5342465753424658E-2</v>
      </c>
      <c r="R18" s="441">
        <v>222</v>
      </c>
      <c r="S18" s="442">
        <f>R18*((24-HP!$B$30)/24)</f>
        <v>222</v>
      </c>
      <c r="T18" s="442">
        <f t="shared" si="1"/>
        <v>-7.0757773909406207</v>
      </c>
      <c r="U18" s="442">
        <f t="shared" si="2"/>
        <v>63.067525100237688</v>
      </c>
      <c r="V18" s="435">
        <f>IF(HP!$N$12=TRUE,(T18+U18),T18)</f>
        <v>-7.0757773909406207</v>
      </c>
      <c r="W18" s="443">
        <f>HP!$B$19+(((HP!$B$25-HP!$B$28)/2)*((HP!$B$19-O18)/(HP!$B$19-HP!$B$18)))+((AVERAGE(HP!$B$25,HP!$B$28)-HP!$B$19)*((HP!$B$19-O18)/(HP!$B$19-HP!$B$18))^(1/HP!$B$26))</f>
        <v>51.759463488223687</v>
      </c>
      <c r="X18" s="443">
        <f>E41</f>
        <v>0</v>
      </c>
      <c r="Y18" s="442" t="e">
        <f>V18/X18</f>
        <v>#DIV/0!</v>
      </c>
      <c r="Z18" s="442" t="e">
        <f t="shared" si="5"/>
        <v>#DIV/0!</v>
      </c>
      <c r="AA18" s="442">
        <f t="shared" si="6"/>
        <v>164.31527496739912</v>
      </c>
      <c r="AB18" s="435" t="e">
        <f t="shared" si="7"/>
        <v>#DIV/0!</v>
      </c>
      <c r="AC18" s="436" t="e">
        <f t="shared" si="8"/>
        <v>#DIV/0!</v>
      </c>
      <c r="AD18" s="437"/>
      <c r="AF18" s="421">
        <v>0.85</v>
      </c>
      <c r="AG18" s="421">
        <v>0</v>
      </c>
      <c r="AH18" s="421">
        <v>0</v>
      </c>
      <c r="AI18" s="421">
        <v>0.03</v>
      </c>
    </row>
    <row r="19" spans="1:35" ht="15.75">
      <c r="A19" s="422" t="s">
        <v>1224</v>
      </c>
      <c r="B19" s="422" t="s">
        <v>1220</v>
      </c>
      <c r="C19" s="424">
        <f>IF(HP!$C$39="Yes",HP!G47,0)</f>
        <v>0</v>
      </c>
      <c r="D19" s="424">
        <f>IF(HP!$C$39="Yes",HP!C47,0)</f>
        <v>0</v>
      </c>
      <c r="E19" s="424">
        <f>IF(HP!$C$39="Yes",HP!D47,0)</f>
        <v>0</v>
      </c>
      <c r="F19" s="424">
        <f>IF(HP!$C$39="Yes",HP!E47,0)</f>
        <v>0</v>
      </c>
      <c r="G19" s="424">
        <f>IF(HP!$C$39="Yes",HP!F47,0)</f>
        <v>0</v>
      </c>
      <c r="I19" s="322" t="s">
        <v>1225</v>
      </c>
      <c r="J19" s="426"/>
      <c r="K19" s="427"/>
      <c r="L19" s="428"/>
      <c r="M19" s="427"/>
      <c r="O19" s="432">
        <f t="shared" si="0"/>
        <v>3</v>
      </c>
      <c r="P19" s="433">
        <f>'Meteorological data'!F19</f>
        <v>7.5300826713053465E-2</v>
      </c>
      <c r="Q19" s="433">
        <f>'Meteorological data'!G19</f>
        <v>3.6872146118721458E-2</v>
      </c>
      <c r="R19" s="434">
        <v>323</v>
      </c>
      <c r="S19" s="435">
        <f>R19*((24-HP!$B$30)/24)</f>
        <v>323</v>
      </c>
      <c r="T19" s="435">
        <f t="shared" si="1"/>
        <v>-9.5595847054567784</v>
      </c>
      <c r="U19" s="435">
        <f t="shared" si="2"/>
        <v>91.760408141336811</v>
      </c>
      <c r="V19" s="435">
        <f>IF(HP!$N$12=TRUE,(T19+U19),T19)</f>
        <v>-9.5595847054567784</v>
      </c>
      <c r="W19" s="424">
        <f>HP!$B$19+(((HP!$B$25-HP!$B$28)/2)*((HP!$B$19-O19)/(HP!$B$19-HP!$B$18)))+((AVERAGE(HP!$B$25,HP!$B$28)-HP!$B$19)*((HP!$B$19-O19)/(HP!$B$19-HP!$B$18))^(1/HP!$B$26))</f>
        <v>50.071496878770063</v>
      </c>
      <c r="X19" s="424">
        <f>(($X$23-$X$18)/($O$23-$O$18))*(O19-$O$18)+$X$18</f>
        <v>0</v>
      </c>
      <c r="Y19" s="435" t="e">
        <f>V19/X19</f>
        <v>#DIV/0!</v>
      </c>
      <c r="Z19" s="435" t="e">
        <f>IF((Y19-S19)&lt;0,0,(Y19-S19))</f>
        <v>#DIV/0!</v>
      </c>
      <c r="AA19" s="435">
        <f t="shared" si="6"/>
        <v>221.99480038227443</v>
      </c>
      <c r="AB19" s="435" t="e">
        <f t="shared" si="7"/>
        <v>#DIV/0!</v>
      </c>
      <c r="AC19" s="436" t="e">
        <f t="shared" si="8"/>
        <v>#DIV/0!</v>
      </c>
      <c r="AD19" s="437"/>
      <c r="AF19" s="421">
        <v>0.9</v>
      </c>
      <c r="AG19" s="421">
        <v>0</v>
      </c>
      <c r="AH19" s="421">
        <v>0</v>
      </c>
      <c r="AI19" s="421">
        <v>0.02</v>
      </c>
    </row>
    <row r="20" spans="1:35" ht="15.75">
      <c r="A20" s="422" t="s">
        <v>1226</v>
      </c>
      <c r="B20" s="422" t="s">
        <v>1220</v>
      </c>
      <c r="C20" s="424">
        <f>IF(HP!C40="Yes",HP!G51,0)</f>
        <v>0</v>
      </c>
      <c r="D20" s="424">
        <f>IF(HP!C40="Yes",HP!C51,0)</f>
        <v>0</v>
      </c>
      <c r="E20" s="424">
        <f>IF(HP!C40="Yes",HP!D51,0)</f>
        <v>0</v>
      </c>
      <c r="F20" s="424">
        <f>IF(HP!C40="Yes",HP!E51,0)</f>
        <v>0</v>
      </c>
      <c r="G20" s="424">
        <f>IF(HP!C40="Yes",HP!F51,0)</f>
        <v>0</v>
      </c>
      <c r="I20" s="322" t="s">
        <v>1227</v>
      </c>
      <c r="J20" s="426"/>
      <c r="K20" s="437"/>
      <c r="L20" s="428"/>
      <c r="M20" s="437"/>
      <c r="O20" s="432">
        <f t="shared" si="0"/>
        <v>4</v>
      </c>
      <c r="P20" s="433">
        <f>'Meteorological data'!F20</f>
        <v>8.6078582572673631E-2</v>
      </c>
      <c r="Q20" s="433">
        <f>'Meteorological data'!G20</f>
        <v>4.5662100456621002E-2</v>
      </c>
      <c r="R20" s="434">
        <v>400</v>
      </c>
      <c r="S20" s="435">
        <f>R20*((24-HP!$B$30)/24)</f>
        <v>400</v>
      </c>
      <c r="T20" s="435">
        <f t="shared" si="1"/>
        <v>-10.927841530410225</v>
      </c>
      <c r="U20" s="435">
        <f t="shared" si="2"/>
        <v>113.63518036078861</v>
      </c>
      <c r="V20" s="435">
        <f>IF(HP!$N$12=TRUE,(T20+U20),T20)</f>
        <v>-10.927841530410225</v>
      </c>
      <c r="W20" s="424">
        <f>HP!$B$19+(((HP!$B$25-HP!$B$28)/2)*((HP!$B$19-O20)/(HP!$B$19-HP!$B$18)))+((AVERAGE(HP!$B$25,HP!$B$28)-HP!$B$19)*((HP!$B$19-O20)/(HP!$B$19-HP!$B$18))^(1/HP!$B$26))</f>
        <v>48.368007539369316</v>
      </c>
      <c r="X20" s="424">
        <f t="shared" ref="X20:X22" si="12">(($X$23-$X$18)/($O$23-$O$18))*(O20-$O$18)+$X$18</f>
        <v>0</v>
      </c>
      <c r="Y20" s="435" t="e">
        <f t="shared" si="11"/>
        <v>#DIV/0!</v>
      </c>
      <c r="Z20" s="435" t="e">
        <f t="shared" si="5"/>
        <v>#DIV/0!</v>
      </c>
      <c r="AA20" s="435">
        <f t="shared" si="6"/>
        <v>253.76876442841561</v>
      </c>
      <c r="AB20" s="435" t="e">
        <f t="shared" si="7"/>
        <v>#DIV/0!</v>
      </c>
      <c r="AC20" s="436" t="e">
        <f t="shared" si="8"/>
        <v>#DIV/0!</v>
      </c>
      <c r="AD20" s="437"/>
      <c r="AF20" s="421">
        <v>0.95</v>
      </c>
      <c r="AG20" s="421">
        <v>0</v>
      </c>
      <c r="AH20" s="421">
        <v>0</v>
      </c>
      <c r="AI20" s="421">
        <v>0.01</v>
      </c>
    </row>
    <row r="21" spans="1:35" ht="15.75">
      <c r="A21" s="422" t="s">
        <v>1228</v>
      </c>
      <c r="B21" s="422" t="s">
        <v>1220</v>
      </c>
      <c r="C21" s="424">
        <f>HP!G55</f>
        <v>0</v>
      </c>
      <c r="D21" s="424">
        <f>HP!C55</f>
        <v>0</v>
      </c>
      <c r="E21" s="424">
        <f>HP!D55</f>
        <v>0</v>
      </c>
      <c r="F21" s="424">
        <f>HP!E55</f>
        <v>0</v>
      </c>
      <c r="G21" s="424">
        <f>HP!F55</f>
        <v>0</v>
      </c>
      <c r="I21" s="322" t="s">
        <v>1229</v>
      </c>
      <c r="J21" s="426"/>
      <c r="K21" s="437"/>
      <c r="L21" s="428"/>
      <c r="M21" s="437"/>
      <c r="O21" s="432">
        <f t="shared" si="0"/>
        <v>5</v>
      </c>
      <c r="P21" s="433">
        <f>'Meteorological data'!F21</f>
        <v>8.7979484604486846E-2</v>
      </c>
      <c r="Q21" s="433">
        <f>'Meteorological data'!G21</f>
        <v>5.0913242009132421E-2</v>
      </c>
      <c r="R21" s="434">
        <v>446</v>
      </c>
      <c r="S21" s="435">
        <f>R21*((24-HP!$B$30)/24)</f>
        <v>446</v>
      </c>
      <c r="T21" s="435">
        <f t="shared" si="1"/>
        <v>-11.169164697540117</v>
      </c>
      <c r="U21" s="435">
        <f t="shared" si="2"/>
        <v>126.70322610227932</v>
      </c>
      <c r="V21" s="435">
        <f>IF(HP!$N$12=TRUE,(T21+U21),T21)</f>
        <v>-11.169164697540117</v>
      </c>
      <c r="W21" s="424">
        <f>HP!$B$19+(((HP!$B$25-HP!$B$28)/2)*((HP!$B$19-O21)/(HP!$B$19-HP!$B$18)))+((AVERAGE(HP!$B$25,HP!$B$28)-HP!$B$19)*((HP!$B$19-O21)/(HP!$B$19-HP!$B$18))^(1/HP!$B$26))</f>
        <v>46.647758872771718</v>
      </c>
      <c r="X21" s="424">
        <f t="shared" si="12"/>
        <v>0</v>
      </c>
      <c r="Y21" s="435" t="e">
        <f t="shared" si="11"/>
        <v>#DIV/0!</v>
      </c>
      <c r="Z21" s="435" t="e">
        <f t="shared" si="5"/>
        <v>#DIV/0!</v>
      </c>
      <c r="AA21" s="435">
        <f t="shared" si="6"/>
        <v>259.37282464287648</v>
      </c>
      <c r="AB21" s="435" t="e">
        <f t="shared" si="7"/>
        <v>#DIV/0!</v>
      </c>
      <c r="AC21" s="436" t="e">
        <f t="shared" si="8"/>
        <v>#DIV/0!</v>
      </c>
      <c r="AD21" s="437"/>
      <c r="AF21" s="421">
        <v>1</v>
      </c>
      <c r="AG21" s="421">
        <v>0</v>
      </c>
      <c r="AH21" s="421">
        <v>0</v>
      </c>
      <c r="AI21" s="421">
        <v>0.01</v>
      </c>
    </row>
    <row r="22" spans="1:35" ht="15.75">
      <c r="A22" s="422" t="s">
        <v>1230</v>
      </c>
      <c r="B22" s="422" t="s">
        <v>1220</v>
      </c>
      <c r="C22" s="424">
        <f>IF(HP!C41="Yes",HP!G59,0)</f>
        <v>0</v>
      </c>
      <c r="D22" s="424">
        <f>IF(HP!$C$41="Yes",HP!C59,0)</f>
        <v>0</v>
      </c>
      <c r="E22" s="424">
        <f>IF(HP!$C$41="Yes",HP!D59,0)</f>
        <v>0</v>
      </c>
      <c r="F22" s="424">
        <f>IF(HP!$C$41="Yes",HP!E59,0)</f>
        <v>0</v>
      </c>
      <c r="G22" s="424">
        <f>IF(HP!$C$41="Yes",HP!F59,0)</f>
        <v>0</v>
      </c>
      <c r="I22" s="322" t="s">
        <v>1231</v>
      </c>
      <c r="J22" s="426"/>
      <c r="K22" s="437"/>
      <c r="L22" s="428"/>
      <c r="M22" s="437"/>
      <c r="O22" s="432">
        <f t="shared" si="0"/>
        <v>6</v>
      </c>
      <c r="P22" s="433">
        <f>'Meteorological data'!F22</f>
        <v>9.7735057296056527E-2</v>
      </c>
      <c r="Q22" s="433">
        <f>'Meteorological data'!G22</f>
        <v>6.2214611872146115E-2</v>
      </c>
      <c r="R22" s="434">
        <v>545</v>
      </c>
      <c r="S22" s="435">
        <f>R22*((24-HP!$B$30)/24)</f>
        <v>545</v>
      </c>
      <c r="T22" s="435">
        <f t="shared" si="1"/>
        <v>-12.407653404319943</v>
      </c>
      <c r="U22" s="435">
        <f t="shared" si="2"/>
        <v>154.8279332415745</v>
      </c>
      <c r="V22" s="435">
        <f>IF(HP!$N$12=TRUE,(T22+U22),T22)</f>
        <v>-12.407653404319943</v>
      </c>
      <c r="W22" s="424">
        <f>HP!$B$19+(((HP!$B$25-HP!$B$28)/2)*((HP!$B$19-O22)/(HP!$B$19-HP!$B$18)))+((AVERAGE(HP!$B$25,HP!$B$28)-HP!$B$19)*((HP!$B$19-O22)/(HP!$B$19-HP!$B$18))^(1/HP!$B$26))</f>
        <v>44.909317761923859</v>
      </c>
      <c r="X22" s="424">
        <f t="shared" si="12"/>
        <v>0</v>
      </c>
      <c r="Y22" s="435" t="e">
        <f t="shared" si="11"/>
        <v>#DIV/0!</v>
      </c>
      <c r="Z22" s="435" t="e">
        <f t="shared" si="5"/>
        <v>#DIV/0!</v>
      </c>
      <c r="AA22" s="435">
        <f t="shared" si="6"/>
        <v>288.13328461143027</v>
      </c>
      <c r="AB22" s="435" t="e">
        <f t="shared" si="7"/>
        <v>#DIV/0!</v>
      </c>
      <c r="AC22" s="436" t="e">
        <f t="shared" si="8"/>
        <v>#DIV/0!</v>
      </c>
      <c r="AD22" s="437"/>
      <c r="AF22" s="421">
        <v>1.05</v>
      </c>
      <c r="AG22" s="421">
        <v>0</v>
      </c>
      <c r="AH22" s="421">
        <v>0</v>
      </c>
      <c r="AI22" s="421">
        <v>0</v>
      </c>
    </row>
    <row r="23" spans="1:35" ht="15.75">
      <c r="A23" s="422" t="s">
        <v>1232</v>
      </c>
      <c r="B23" s="422" t="s">
        <v>1220</v>
      </c>
      <c r="C23" s="424">
        <f>IF(HP!C39="Yes",HP!G46,0)</f>
        <v>0</v>
      </c>
      <c r="D23" s="424">
        <f>IF(HP!$C$39="Yes",HP!C46,0)</f>
        <v>0</v>
      </c>
      <c r="E23" s="424">
        <f>IF(HP!$C$39="Yes",HP!D46,0)</f>
        <v>0</v>
      </c>
      <c r="F23" s="424">
        <f>IF(HP!$C$39="Yes",HP!E46,0)</f>
        <v>0</v>
      </c>
      <c r="G23" s="424">
        <f>IF(HP!$C$39="Yes",HP!F46,0)</f>
        <v>0</v>
      </c>
      <c r="I23" s="322" t="s">
        <v>1233</v>
      </c>
      <c r="J23" s="426"/>
      <c r="K23" s="427"/>
      <c r="L23" s="428"/>
      <c r="M23" s="427"/>
      <c r="O23" s="439">
        <f t="shared" si="0"/>
        <v>7</v>
      </c>
      <c r="P23" s="440">
        <f>'Meteorological data'!F23</f>
        <v>9.7322597421229132E-2</v>
      </c>
      <c r="Q23" s="440">
        <f>'Meteorological data'!G23</f>
        <v>6.8835616438356159E-2</v>
      </c>
      <c r="R23" s="441">
        <v>603</v>
      </c>
      <c r="S23" s="442">
        <f>R23*((24-HP!$B$30)/24)</f>
        <v>603</v>
      </c>
      <c r="T23" s="442">
        <f t="shared" si="1"/>
        <v>-12.35529083032006</v>
      </c>
      <c r="U23" s="442">
        <f t="shared" si="2"/>
        <v>171.30503439388883</v>
      </c>
      <c r="V23" s="435">
        <f>IF(HP!$N$12=TRUE,(T23+U23),T23)</f>
        <v>-12.35529083032006</v>
      </c>
      <c r="W23" s="443">
        <f>HP!$B$19+(((HP!$B$25-HP!$B$28)/2)*((HP!$B$19-O23)/(HP!$B$19-HP!$B$18)))+((AVERAGE(HP!$B$25,HP!$B$28)-HP!$B$19)*((HP!$B$19-O23)/(HP!$B$19-HP!$B$18))^(1/HP!$B$26))</f>
        <v>43.151005264720368</v>
      </c>
      <c r="X23" s="443">
        <f>F41</f>
        <v>0</v>
      </c>
      <c r="Y23" s="442" t="e">
        <f t="shared" si="11"/>
        <v>#DIV/0!</v>
      </c>
      <c r="Z23" s="442" t="e">
        <f t="shared" si="5"/>
        <v>#DIV/0!</v>
      </c>
      <c r="AA23" s="442">
        <f t="shared" si="6"/>
        <v>286.91730928187741</v>
      </c>
      <c r="AB23" s="442" t="e">
        <f t="shared" si="7"/>
        <v>#DIV/0!</v>
      </c>
      <c r="AC23" s="444" t="e">
        <f t="shared" si="8"/>
        <v>#DIV/0!</v>
      </c>
      <c r="AD23" s="437"/>
    </row>
    <row r="24" spans="1:35" ht="15.75">
      <c r="A24" s="422" t="s">
        <v>1234</v>
      </c>
      <c r="B24" s="422" t="s">
        <v>1220</v>
      </c>
      <c r="C24" s="424">
        <f>IF(HP!C40="Yes",HP!G50,0)</f>
        <v>0</v>
      </c>
      <c r="D24" s="424">
        <f>IF(HP!C40="Yes",HP!C50,0)</f>
        <v>0</v>
      </c>
      <c r="E24" s="424">
        <f>IF(HP!C40="Yes",HP!D50,0)</f>
        <v>0</v>
      </c>
      <c r="F24" s="424">
        <f>IF(HP!C40="Yes",HP!E50,0)</f>
        <v>0</v>
      </c>
      <c r="G24" s="424">
        <f>IF(HP!C40="Yes",HP!F50,0)</f>
        <v>0</v>
      </c>
      <c r="I24" s="322" t="s">
        <v>1235</v>
      </c>
      <c r="J24" s="426"/>
      <c r="K24" s="427"/>
      <c r="L24" s="428"/>
      <c r="M24" s="427"/>
      <c r="O24" s="432">
        <f t="shared" si="0"/>
        <v>8</v>
      </c>
      <c r="P24" s="433">
        <f>'Meteorological data'!F24</f>
        <v>9.4399512221365417E-2</v>
      </c>
      <c r="Q24" s="433">
        <f>'Meteorological data'!G24</f>
        <v>7.5114155251141554E-2</v>
      </c>
      <c r="R24" s="434">
        <v>658</v>
      </c>
      <c r="S24" s="435">
        <f>R24*((24-HP!$B$30)/24)</f>
        <v>658</v>
      </c>
      <c r="T24" s="435">
        <f t="shared" si="1"/>
        <v>-11.984199545016546</v>
      </c>
      <c r="U24" s="435">
        <f t="shared" si="2"/>
        <v>186.92987169349729</v>
      </c>
      <c r="V24" s="435">
        <f>IF(HP!$N$12=TRUE,(T24+U24),T24)</f>
        <v>-11.984199545016546</v>
      </c>
      <c r="W24" s="424">
        <f>HP!$B$19+(((HP!$B$25-HP!$B$28)/2)*((HP!$B$19-O24)/(HP!$B$19-HP!$B$18)))+((AVERAGE(HP!$B$25,HP!$B$28)-HP!$B$19)*((HP!$B$19-O24)/(HP!$B$19-HP!$B$18))^(1/HP!$B$26))</f>
        <v>41.370829611548523</v>
      </c>
      <c r="X24" s="424">
        <f>(($X$28-$X$23)/($O$28-$O$23))*(O24-$O$23)+$X$23</f>
        <v>0</v>
      </c>
      <c r="Y24" s="435" t="e">
        <f t="shared" si="11"/>
        <v>#DIV/0!</v>
      </c>
      <c r="Z24" s="435" t="e">
        <f t="shared" si="5"/>
        <v>#DIV/0!</v>
      </c>
      <c r="AA24" s="435">
        <f t="shared" si="6"/>
        <v>278.29974498982915</v>
      </c>
      <c r="AB24" s="435" t="e">
        <f t="shared" si="7"/>
        <v>#DIV/0!</v>
      </c>
      <c r="AC24" s="436" t="e">
        <f t="shared" si="8"/>
        <v>#DIV/0!</v>
      </c>
      <c r="AD24" s="437"/>
      <c r="AG24" s="433">
        <f>IF($J$47&lt;0.5,3.9048*$J$47^2-4.018*$J$47+1.045,0)</f>
        <v>1.0449999999999999</v>
      </c>
      <c r="AH24" s="433">
        <f>IF($J$47&lt;0.7,2.0699*$J$47^2-2.8993*$J$47+1.0265,0)</f>
        <v>1.0265</v>
      </c>
      <c r="AI24" s="433">
        <f>IF($J$47&lt;1,1.1182*$J$47^2-2.1276*$J$47+1.0252,0)</f>
        <v>1.0251999999999999</v>
      </c>
    </row>
    <row r="25" spans="1:35" ht="15.75">
      <c r="A25" s="422" t="s">
        <v>1236</v>
      </c>
      <c r="B25" s="422" t="s">
        <v>1220</v>
      </c>
      <c r="C25" s="424">
        <f>HP!G54</f>
        <v>0</v>
      </c>
      <c r="D25" s="424">
        <f>HP!C54</f>
        <v>0</v>
      </c>
      <c r="E25" s="424">
        <f>HP!D54</f>
        <v>0</v>
      </c>
      <c r="F25" s="424">
        <f>HP!E54</f>
        <v>0</v>
      </c>
      <c r="G25" s="424">
        <f>HP!F54</f>
        <v>0</v>
      </c>
      <c r="I25" s="322" t="s">
        <v>1237</v>
      </c>
      <c r="J25" s="426"/>
      <c r="K25" s="427"/>
      <c r="L25" s="428"/>
      <c r="M25" s="427"/>
      <c r="O25" s="432">
        <f t="shared" si="0"/>
        <v>9</v>
      </c>
      <c r="P25" s="433">
        <f>'Meteorological data'!F25</f>
        <v>8.5486792317486501E-2</v>
      </c>
      <c r="Q25" s="433">
        <f>'Meteorological data'!G25</f>
        <v>7.773972602739726E-2</v>
      </c>
      <c r="R25" s="434">
        <v>681</v>
      </c>
      <c r="S25" s="435">
        <f>R25*((24-HP!$B$30)/24)</f>
        <v>681</v>
      </c>
      <c r="T25" s="435">
        <f t="shared" si="1"/>
        <v>-10.852712619888655</v>
      </c>
      <c r="U25" s="435">
        <f t="shared" si="2"/>
        <v>193.46389456424262</v>
      </c>
      <c r="V25" s="435">
        <f>IF(HP!$N$12=TRUE,(T25+U25),T25)</f>
        <v>-10.852712619888655</v>
      </c>
      <c r="W25" s="424">
        <f>HP!$B$19+(((HP!$B$25-HP!$B$28)/2)*((HP!$B$19-O25)/(HP!$B$19-HP!$B$18)))+((AVERAGE(HP!$B$25,HP!$B$28)-HP!$B$19)*((HP!$B$19-O25)/(HP!$B$19-HP!$B$18))^(1/HP!$B$26))</f>
        <v>39.566392874918378</v>
      </c>
      <c r="X25" s="424">
        <f t="shared" ref="X25:X30" si="13">(($X$28-$X$23)/($O$28-$O$23))*(O25-$O$23)+$X$23</f>
        <v>0</v>
      </c>
      <c r="Y25" s="435" t="e">
        <f t="shared" si="11"/>
        <v>#DIV/0!</v>
      </c>
      <c r="Z25" s="435" t="e">
        <f t="shared" si="5"/>
        <v>#DIV/0!</v>
      </c>
      <c r="AA25" s="435">
        <f t="shared" si="6"/>
        <v>252.02410417297025</v>
      </c>
      <c r="AB25" s="435" t="e">
        <f t="shared" si="7"/>
        <v>#DIV/0!</v>
      </c>
      <c r="AC25" s="436" t="e">
        <f t="shared" si="8"/>
        <v>#DIV/0!</v>
      </c>
      <c r="AD25" s="437"/>
    </row>
    <row r="26" spans="1:35" ht="15.75">
      <c r="A26" s="422" t="s">
        <v>1238</v>
      </c>
      <c r="B26" s="422" t="s">
        <v>1220</v>
      </c>
      <c r="C26" s="424">
        <f>IF(HP!C41="Yes",HP!G58,0)</f>
        <v>0</v>
      </c>
      <c r="D26" s="424">
        <f>IF(HP!$C$41="Yes",HP!C58,0)</f>
        <v>0</v>
      </c>
      <c r="E26" s="424">
        <f>IF(HP!$C$41="Yes",HP!D58,0)</f>
        <v>0</v>
      </c>
      <c r="F26" s="424">
        <f>IF(HP!$C$41="Yes",HP!E58,0)</f>
        <v>0</v>
      </c>
      <c r="G26" s="424">
        <f>IF(HP!$C$41="Yes",HP!F58,0)</f>
        <v>0</v>
      </c>
      <c r="I26" s="322" t="s">
        <v>1239</v>
      </c>
      <c r="J26" s="428"/>
      <c r="K26" s="437"/>
      <c r="L26" s="428"/>
      <c r="M26" s="437"/>
      <c r="O26" s="432">
        <f t="shared" si="0"/>
        <v>10</v>
      </c>
      <c r="P26" s="433">
        <f>'Meteorological data'!F26</f>
        <v>6.875526782992307E-2</v>
      </c>
      <c r="Q26" s="433">
        <f>'Meteorological data'!G26</f>
        <v>7.294520547945206E-2</v>
      </c>
      <c r="R26" s="434">
        <v>639</v>
      </c>
      <c r="S26" s="435">
        <f>R26*((24-HP!$B$30)/24)</f>
        <v>639</v>
      </c>
      <c r="T26" s="435">
        <f t="shared" si="1"/>
        <v>-8.728613422415167</v>
      </c>
      <c r="U26" s="435">
        <f t="shared" si="2"/>
        <v>181.53220062635984</v>
      </c>
      <c r="V26" s="435">
        <f>IF(HP!$N$12=TRUE,(T26+U26),T26)</f>
        <v>-8.728613422415167</v>
      </c>
      <c r="W26" s="424">
        <f>HP!$B$19+(((HP!$B$25-HP!$B$28)/2)*((HP!$B$19-O26)/(HP!$B$19-HP!$B$18)))+((AVERAGE(HP!$B$25,HP!$B$28)-HP!$B$19)*((HP!$B$19-O26)/(HP!$B$19-HP!$B$18))^(1/HP!$B$26))</f>
        <v>37.734757123969118</v>
      </c>
      <c r="X26" s="424">
        <f t="shared" si="13"/>
        <v>0</v>
      </c>
      <c r="Y26" s="435" t="e">
        <f t="shared" si="11"/>
        <v>#DIV/0!</v>
      </c>
      <c r="Z26" s="435" t="e">
        <f t="shared" si="5"/>
        <v>#DIV/0!</v>
      </c>
      <c r="AA26" s="435">
        <f t="shared" si="6"/>
        <v>202.69780058719698</v>
      </c>
      <c r="AB26" s="435" t="e">
        <f t="shared" si="7"/>
        <v>#DIV/0!</v>
      </c>
      <c r="AC26" s="436" t="e">
        <f t="shared" si="8"/>
        <v>#DIV/0!</v>
      </c>
      <c r="AD26" s="437"/>
    </row>
    <row r="27" spans="1:35">
      <c r="J27" s="428"/>
      <c r="K27" s="437"/>
      <c r="L27" s="428"/>
      <c r="M27" s="437"/>
      <c r="O27" s="432">
        <f t="shared" si="0"/>
        <v>11</v>
      </c>
      <c r="P27" s="433">
        <f>'Meteorological data'!F27</f>
        <v>5.9179025518713124E-2</v>
      </c>
      <c r="Q27" s="433">
        <f>'Meteorological data'!G27</f>
        <v>7.5342465753424653E-2</v>
      </c>
      <c r="R27" s="434">
        <v>660</v>
      </c>
      <c r="S27" s="435">
        <f>R27*((24-HP!$B$30)/24)</f>
        <v>660</v>
      </c>
      <c r="T27" s="435">
        <f t="shared" si="1"/>
        <v>-7.5128910521570296</v>
      </c>
      <c r="U27" s="435">
        <f t="shared" si="2"/>
        <v>187.49804759530122</v>
      </c>
      <c r="V27" s="435">
        <f>IF(HP!$N$12=TRUE,(T27+U27),T27)</f>
        <v>-7.5128910521570296</v>
      </c>
      <c r="W27" s="424">
        <f>HP!$B$19+(((HP!$B$25-HP!$B$28)/2)*((HP!$B$19-O27)/(HP!$B$19-HP!$B$18)))+((AVERAGE(HP!$B$25,HP!$B$28)-HP!$B$19)*((HP!$B$19-O27)/(HP!$B$19-HP!$B$18))^(1/HP!$B$26))</f>
        <v>35.87224566858648</v>
      </c>
      <c r="X27" s="424">
        <f t="shared" si="13"/>
        <v>0</v>
      </c>
      <c r="Y27" s="435" t="e">
        <f t="shared" si="11"/>
        <v>#DIV/0!</v>
      </c>
      <c r="Z27" s="435" t="e">
        <f t="shared" si="5"/>
        <v>#DIV/0!</v>
      </c>
      <c r="AA27" s="435">
        <f t="shared" si="6"/>
        <v>174.46602554453574</v>
      </c>
      <c r="AB27" s="435" t="e">
        <f t="shared" si="7"/>
        <v>#DIV/0!</v>
      </c>
      <c r="AC27" s="436" t="e">
        <f t="shared" si="8"/>
        <v>#DIV/0!</v>
      </c>
      <c r="AD27" s="437"/>
    </row>
    <row r="28" spans="1:35">
      <c r="A28" s="421" t="s">
        <v>1240</v>
      </c>
      <c r="B28" s="421" t="s">
        <v>1241</v>
      </c>
      <c r="C28" s="421" t="str">
        <f>IF(C30="Yes","High",IF(HP!$B$25&lt;=45,IF(HP!C39="Yes","Low",IF(HP!C40="Yes","Medium","High")),IF(HP!$B$25&lt;=55,IF(HP!C40="Yes","Medium",IF(HP!C39="Yes","Low","High")),"High")))</f>
        <v>High</v>
      </c>
      <c r="I28" s="421" t="s">
        <v>2</v>
      </c>
      <c r="J28" s="428"/>
      <c r="K28" s="437"/>
      <c r="L28" s="428"/>
      <c r="M28" s="437"/>
      <c r="O28" s="439">
        <f t="shared" si="0"/>
        <v>12</v>
      </c>
      <c r="P28" s="440">
        <f>'Meteorological data'!F28</f>
        <v>4.3756612807775763E-2</v>
      </c>
      <c r="Q28" s="440">
        <f>'Meteorological data'!G28</f>
        <v>6.9634703196347028E-2</v>
      </c>
      <c r="R28" s="441">
        <v>610</v>
      </c>
      <c r="S28" s="442">
        <f>R28*((24-HP!$B$30)/24)</f>
        <v>610</v>
      </c>
      <c r="T28" s="442">
        <f t="shared" si="1"/>
        <v>-5.5549861112918641</v>
      </c>
      <c r="U28" s="442">
        <f t="shared" si="2"/>
        <v>173.29365005020264</v>
      </c>
      <c r="V28" s="435">
        <f>IF(HP!$N$12=TRUE,(T28+U28),T28)</f>
        <v>-5.5549861112918641</v>
      </c>
      <c r="W28" s="443">
        <f>HP!$B$19+(((HP!$B$25-HP!$B$28)/2)*((HP!$B$19-O28)/(HP!$B$19-HP!$B$18)))+((AVERAGE(HP!$B$25,HP!$B$28)-HP!$B$19)*((HP!$B$19-O28)/(HP!$B$19-HP!$B$18))^(1/HP!$B$26))</f>
        <v>33.974135100895843</v>
      </c>
      <c r="X28" s="443">
        <f>G41</f>
        <v>0</v>
      </c>
      <c r="Y28" s="442" t="e">
        <f t="shared" si="11"/>
        <v>#DIV/0!</v>
      </c>
      <c r="Z28" s="442" t="e">
        <f t="shared" si="5"/>
        <v>#DIV/0!</v>
      </c>
      <c r="AA28" s="442">
        <f t="shared" si="6"/>
        <v>128.99912191777793</v>
      </c>
      <c r="AB28" s="442" t="e">
        <f t="shared" si="7"/>
        <v>#DIV/0!</v>
      </c>
      <c r="AC28" s="444" t="e">
        <f t="shared" si="8"/>
        <v>#DIV/0!</v>
      </c>
      <c r="AD28" s="437"/>
    </row>
    <row r="29" spans="1:35">
      <c r="B29" s="421" t="s">
        <v>1242</v>
      </c>
      <c r="C29" s="421" t="str">
        <f>IF(C30="Yes","Error",IF(HP!$B$25&lt;=45,IF(C28="Low",IF(HP!C40="Yes","Medium","High"),IF(C28="Medium","High","Error")),IF(HP!B25&lt;=55,IF(C28="Low","High",IF(C28="Medium","High","Error")),IF(HP!C41="Yes","Very High","Error"))))</f>
        <v>Error</v>
      </c>
      <c r="J29" s="428"/>
      <c r="K29" s="437"/>
      <c r="L29" s="428"/>
      <c r="M29" s="437"/>
      <c r="N29" s="429"/>
      <c r="O29" s="432">
        <f t="shared" si="0"/>
        <v>13</v>
      </c>
      <c r="P29" s="433">
        <f>'Meteorological data'!F29</f>
        <v>3.1311084410810035E-2</v>
      </c>
      <c r="Q29" s="433">
        <f>'Meteorological data'!G29</f>
        <v>6.6438356164383566E-2</v>
      </c>
      <c r="R29" s="434">
        <v>582</v>
      </c>
      <c r="S29" s="435">
        <f>R29*((24-HP!$B$30)/24)</f>
        <v>582</v>
      </c>
      <c r="T29" s="435">
        <f t="shared" si="1"/>
        <v>-3.9750023566867192</v>
      </c>
      <c r="U29" s="435">
        <f t="shared" si="2"/>
        <v>165.33918742494745</v>
      </c>
      <c r="V29" s="435">
        <f>IF(HP!$N$12=TRUE,(T29+U29),T29)</f>
        <v>-3.9750023566867192</v>
      </c>
      <c r="W29" s="424">
        <f>HP!$B$19+(((HP!$B$25-HP!$B$28)/2)*((HP!$B$19-O29)/(HP!$B$19-HP!$B$18)))+((AVERAGE(HP!$B$25,HP!$B$28)-HP!$B$19)*((HP!$B$19-O29)/(HP!$B$19-HP!$B$18))^(1/HP!$B$26))</f>
        <v>32.034152134966149</v>
      </c>
      <c r="X29" s="424">
        <f t="shared" si="13"/>
        <v>0</v>
      </c>
      <c r="Y29" s="435" t="e">
        <f t="shared" si="11"/>
        <v>#DIV/0!</v>
      </c>
      <c r="Z29" s="435" t="e">
        <f t="shared" si="5"/>
        <v>#DIV/0!</v>
      </c>
      <c r="AA29" s="435">
        <f t="shared" si="6"/>
        <v>92.30838806083618</v>
      </c>
      <c r="AB29" s="435" t="e">
        <f t="shared" si="7"/>
        <v>#DIV/0!</v>
      </c>
      <c r="AC29" s="436" t="e">
        <f t="shared" si="8"/>
        <v>#DIV/0!</v>
      </c>
      <c r="AD29" s="437"/>
    </row>
    <row r="30" spans="1:35">
      <c r="B30" s="421" t="s">
        <v>1243</v>
      </c>
      <c r="C30" s="421" t="str">
        <f>IF(OR(HP!B12="Air to Air",HP!B12="Brine to Air",HP!B12="Water to Air"),"Yes","No")</f>
        <v>No</v>
      </c>
      <c r="J30" s="428"/>
      <c r="K30" s="437"/>
      <c r="L30" s="428"/>
      <c r="M30" s="437"/>
      <c r="N30" s="429"/>
      <c r="O30" s="432">
        <f t="shared" si="0"/>
        <v>14</v>
      </c>
      <c r="P30" s="433">
        <f>'Meteorological data'!F30</f>
        <v>1.7251582590606676E-2</v>
      </c>
      <c r="Q30" s="433">
        <f>'Meteorological data'!G30</f>
        <v>5.4908675799086759E-2</v>
      </c>
      <c r="R30" s="434">
        <v>481</v>
      </c>
      <c r="S30" s="435">
        <f>R30*((24-HP!$B$30)/24)</f>
        <v>481</v>
      </c>
      <c r="T30" s="435">
        <f t="shared" si="1"/>
        <v>-2.1901215733863828</v>
      </c>
      <c r="U30" s="435">
        <f t="shared" si="2"/>
        <v>136.64630438384833</v>
      </c>
      <c r="V30" s="435">
        <f>IF(HP!$N$12=TRUE,(T30+U30),T30)</f>
        <v>-2.1901215733863828</v>
      </c>
      <c r="W30" s="424">
        <f>HP!$B$19+(((HP!$B$25-HP!$B$28)/2)*((HP!$B$19-O30)/(HP!$B$19-HP!$B$18)))+((AVERAGE(HP!$B$25,HP!$B$28)-HP!$B$19)*((HP!$B$19-O30)/(HP!$B$19-HP!$B$18))^(1/HP!$B$26))</f>
        <v>30.043593411376669</v>
      </c>
      <c r="X30" s="424">
        <f t="shared" si="13"/>
        <v>0</v>
      </c>
      <c r="Y30" s="435" t="e">
        <f t="shared" si="11"/>
        <v>#DIV/0!</v>
      </c>
      <c r="Z30" s="435" t="e">
        <f t="shared" si="5"/>
        <v>#DIV/0!</v>
      </c>
      <c r="AA30" s="435">
        <f t="shared" si="6"/>
        <v>50.859489870861637</v>
      </c>
      <c r="AB30" s="435" t="e">
        <f t="shared" si="7"/>
        <v>#DIV/0!</v>
      </c>
      <c r="AC30" s="436" t="e">
        <f t="shared" si="8"/>
        <v>#DIV/0!</v>
      </c>
      <c r="AD30" s="437"/>
    </row>
    <row r="31" spans="1:35" ht="14.25">
      <c r="A31" s="422" t="s">
        <v>1244</v>
      </c>
      <c r="B31" s="421" t="str">
        <f>C28</f>
        <v>High</v>
      </c>
      <c r="C31" s="421">
        <f>IF($C$28="Low",C15,IF($C$28="Medium",C16,C17))</f>
        <v>55</v>
      </c>
      <c r="D31" s="421">
        <f>IF($C$28="Low",D15,IF($C$28="Medium",D16,D17))</f>
        <v>52</v>
      </c>
      <c r="E31" s="421">
        <f>IF($C$28="Low",E15,IF($C$28="Medium",E16,E17))</f>
        <v>42</v>
      </c>
      <c r="F31" s="421">
        <f>IF($C$28="Low",F15,IF($C$28="Medium",F16,F17))</f>
        <v>36</v>
      </c>
      <c r="G31" s="421">
        <f>IF($C$28="Low",G15,IF($C$28="Medium",G16,G17))</f>
        <v>30</v>
      </c>
      <c r="J31" s="428"/>
      <c r="K31" s="437"/>
      <c r="L31" s="428"/>
      <c r="M31" s="437"/>
      <c r="O31" s="432">
        <f t="shared" si="0"/>
        <v>15</v>
      </c>
      <c r="P31" s="433">
        <f>'Meteorological data'!F31</f>
        <v>9.002385094058785E-3</v>
      </c>
      <c r="Q31" s="433">
        <f>'Meteorological data'!G31</f>
        <v>5.7305936073059359E-2</v>
      </c>
      <c r="R31" s="434">
        <v>502</v>
      </c>
      <c r="S31" s="435">
        <f>R31*((24-HP!$B$30)/24)</f>
        <v>502</v>
      </c>
      <c r="T31" s="435">
        <f t="shared" si="1"/>
        <v>-1.1428700933887361</v>
      </c>
      <c r="U31" s="435">
        <f t="shared" si="2"/>
        <v>142.61215135278971</v>
      </c>
      <c r="V31" s="435">
        <f>IF(HP!$N$12=TRUE,(T31+U31),T31)</f>
        <v>-1.1428700933887361</v>
      </c>
      <c r="W31" s="424">
        <f>HP!$B$19+(((HP!$B$25-HP!$B$28)/2)*((HP!$B$19-O31)/(HP!$B$19-HP!$B$18)))+((AVERAGE(HP!$B$25,HP!$B$28)-HP!$B$19)*((HP!$B$19-O31)/(HP!$B$19-HP!$B$18))^(1/HP!$B$26))</f>
        <v>27.989638019113606</v>
      </c>
      <c r="X31" s="424">
        <f>(($X$28-$X$23)/($O$28-$O$23))*(O31-$O$23)+$X$23</f>
        <v>0</v>
      </c>
      <c r="Y31" s="435" t="e">
        <f t="shared" si="11"/>
        <v>#DIV/0!</v>
      </c>
      <c r="Z31" s="435" t="e">
        <f t="shared" si="5"/>
        <v>#DIV/0!</v>
      </c>
      <c r="AA31" s="435">
        <f t="shared" si="6"/>
        <v>26.539983279805135</v>
      </c>
      <c r="AB31" s="435" t="e">
        <f t="shared" si="7"/>
        <v>#DIV/0!</v>
      </c>
      <c r="AC31" s="436" t="e">
        <f t="shared" si="8"/>
        <v>#DIV/0!</v>
      </c>
      <c r="AD31" s="437"/>
    </row>
    <row r="32" spans="1:35" ht="14.25">
      <c r="A32" s="422" t="s">
        <v>1245</v>
      </c>
      <c r="B32" s="421" t="str">
        <f>C29</f>
        <v>Error</v>
      </c>
      <c r="C32" s="421">
        <f>IF($C$29="Very High",C18,IF($C$29="High",C17,IF($C$29="Error",0,C16)))</f>
        <v>0</v>
      </c>
      <c r="D32" s="421">
        <f>IF($C$29="Very High",D18,IF($C$29="High",D17,IF($C$29="Error",0,D16)))</f>
        <v>0</v>
      </c>
      <c r="E32" s="421">
        <f>IF($C$29="Very High",E18,IF($C$29="High",E17,IF($C$29="Error",0,E16)))</f>
        <v>0</v>
      </c>
      <c r="F32" s="421">
        <f>IF($C$29="Very High",F18,IF($C$29="High",F17,IF($C$29="Error",0,F16)))</f>
        <v>0</v>
      </c>
      <c r="G32" s="421">
        <f>IF($C$29="Very High",G18,IF($C$29="High",G17,IF($C$29="Error",0,G16)))</f>
        <v>0</v>
      </c>
      <c r="J32" s="428"/>
      <c r="K32" s="437"/>
      <c r="L32" s="428"/>
      <c r="M32" s="437"/>
      <c r="O32" s="432">
        <f t="shared" si="0"/>
        <v>16</v>
      </c>
      <c r="Q32" s="433">
        <f>'Meteorological data'!G32</f>
        <v>4.3721461187214615E-2</v>
      </c>
      <c r="R32" s="434">
        <v>383</v>
      </c>
      <c r="S32" s="435">
        <f>R32*((24-HP!$B$30)/24)</f>
        <v>383</v>
      </c>
      <c r="U32" s="435">
        <f t="shared" si="2"/>
        <v>108.80568519545511</v>
      </c>
      <c r="V32" s="435">
        <f>IF(HP!$N$12=TRUE,(T32+U32),T32)</f>
        <v>0</v>
      </c>
      <c r="W32" s="424" t="s">
        <v>2</v>
      </c>
      <c r="AC32" s="428"/>
      <c r="AD32" s="437"/>
    </row>
    <row r="33" spans="1:30">
      <c r="A33" s="422" t="s">
        <v>1246</v>
      </c>
      <c r="B33" s="421" t="str">
        <f>C28</f>
        <v>High</v>
      </c>
      <c r="C33" s="421">
        <f>IF($C$28="Low",C19,IF($C$28="Medium",C20,C21))</f>
        <v>0</v>
      </c>
      <c r="D33" s="421">
        <f>IF($C$28="Low",D19,IF($C$28="Medium",D20,D21))</f>
        <v>0</v>
      </c>
      <c r="E33" s="421">
        <f>IF($C$28="Low",E19,IF($C$28="Medium",E20,E21))</f>
        <v>0</v>
      </c>
      <c r="F33" s="421">
        <f>IF($C$28="Low",F19,IF($C$28="Medium",F20,F21))</f>
        <v>0</v>
      </c>
      <c r="G33" s="421">
        <f>IF($C$28="Low",G19,IF($C$28="Medium",G20,G21))</f>
        <v>0</v>
      </c>
      <c r="J33" s="428"/>
      <c r="K33" s="437"/>
      <c r="L33" s="428"/>
      <c r="M33" s="437"/>
      <c r="O33" s="432">
        <f t="shared" si="0"/>
        <v>17</v>
      </c>
      <c r="Q33" s="433">
        <f>'Meteorological data'!G33</f>
        <v>2.9566210045662102E-2</v>
      </c>
      <c r="R33" s="434">
        <v>259</v>
      </c>
      <c r="S33" s="435">
        <f>R33*((24-HP!$B$30)/24)</f>
        <v>259</v>
      </c>
      <c r="U33" s="435">
        <f t="shared" si="2"/>
        <v>73.578779283610629</v>
      </c>
      <c r="V33" s="435">
        <f>IF(HP!$N$12=TRUE,(T33+U33),T33)</f>
        <v>0</v>
      </c>
      <c r="W33" s="424" t="s">
        <v>2</v>
      </c>
      <c r="AC33" s="428"/>
      <c r="AD33" s="437"/>
    </row>
    <row r="34" spans="1:30">
      <c r="A34" s="422" t="s">
        <v>1247</v>
      </c>
      <c r="B34" s="421" t="str">
        <f>C29</f>
        <v>Error</v>
      </c>
      <c r="C34" s="421">
        <f>IF($C$29="Very High",C22,IF($C$29="High",C21,IF($C$29="Error",0,C20)))</f>
        <v>0</v>
      </c>
      <c r="D34" s="421">
        <f>IF($C$29="Very High",D22,IF($C$29="High",D21,IF($C$29="Error",0,D20)))</f>
        <v>0</v>
      </c>
      <c r="E34" s="421">
        <f>IF($C$29="Very High",E22,IF($C$29="High",E21,IF($C$29="Error",0,E20)))</f>
        <v>0</v>
      </c>
      <c r="F34" s="421">
        <f>IF($C$29="Very High",F22,IF($C$29="High",F21,IF($C$29="Error",0,F20)))</f>
        <v>0</v>
      </c>
      <c r="G34" s="421">
        <f>IF($C$29="Very High",G22,IF($C$29="High",G21,IF($C$29="Error",0,G20)))</f>
        <v>0</v>
      </c>
      <c r="J34" s="428"/>
      <c r="K34" s="437"/>
      <c r="L34" s="428"/>
      <c r="M34" s="437"/>
      <c r="O34" s="432">
        <f t="shared" si="0"/>
        <v>18</v>
      </c>
      <c r="Q34" s="433">
        <f>'Meteorological data'!G34</f>
        <v>1.9406392694063926E-2</v>
      </c>
      <c r="R34" s="434">
        <v>170</v>
      </c>
      <c r="S34" s="435">
        <f>R34*((24-HP!$B$30)/24)</f>
        <v>170</v>
      </c>
      <c r="U34" s="435">
        <f t="shared" si="2"/>
        <v>48.294951653335161</v>
      </c>
      <c r="V34" s="435">
        <f>IF(HP!$N$12=TRUE,(T34+U34),T34)</f>
        <v>0</v>
      </c>
      <c r="W34" s="424" t="s">
        <v>2</v>
      </c>
      <c r="AC34" s="428"/>
      <c r="AD34" s="437"/>
    </row>
    <row r="35" spans="1:30">
      <c r="A35" s="422" t="s">
        <v>1248</v>
      </c>
      <c r="B35" s="421" t="str">
        <f>C28</f>
        <v>High</v>
      </c>
      <c r="C35" s="421">
        <f>IF($C$28="Low",C23,IF($C$28="Medium",C24,C25))</f>
        <v>0</v>
      </c>
      <c r="D35" s="421">
        <f>IF($C$28="Low",D23,IF($C$28="Medium",D24,D25))</f>
        <v>0</v>
      </c>
      <c r="E35" s="421">
        <f>IF($C$28="Low",E23,IF($C$28="Medium",E24,E25))</f>
        <v>0</v>
      </c>
      <c r="F35" s="421">
        <f>IF($C$28="Low",F23,IF($C$28="Medium",F24,F25))</f>
        <v>0</v>
      </c>
      <c r="G35" s="421">
        <f>IF($C$28="Low",G23,IF($C$28="Medium",G24,G25))</f>
        <v>0</v>
      </c>
      <c r="J35" s="428"/>
      <c r="K35" s="437"/>
      <c r="L35" s="428"/>
      <c r="M35" s="437"/>
      <c r="O35" s="432">
        <f t="shared" si="0"/>
        <v>19</v>
      </c>
      <c r="Q35" s="433">
        <f>'Meteorological data'!G35</f>
        <v>1.2785388127853882E-2</v>
      </c>
      <c r="R35" s="434">
        <v>112</v>
      </c>
      <c r="S35" s="435">
        <f>R35*((24-HP!$B$30)/24)</f>
        <v>112</v>
      </c>
      <c r="U35" s="435">
        <f t="shared" si="2"/>
        <v>31.817850501020818</v>
      </c>
      <c r="V35" s="435">
        <f>IF(HP!$N$12=TRUE,(T35+U35),T35)</f>
        <v>0</v>
      </c>
      <c r="W35" s="424" t="s">
        <v>2</v>
      </c>
      <c r="AC35" s="428"/>
      <c r="AD35" s="437"/>
    </row>
    <row r="36" spans="1:30">
      <c r="A36" s="422" t="s">
        <v>1249</v>
      </c>
      <c r="B36" s="421" t="str">
        <f>C29</f>
        <v>Error</v>
      </c>
      <c r="C36" s="421">
        <f>IF($C$29="Very High",C26,IF($C$29="High",C25,IF($C$29="Error",0,C24)))</f>
        <v>0</v>
      </c>
      <c r="D36" s="421">
        <f>IF($C$29="Very High",D26,IF($C$29="High",D25,IF($C$29="Error",0,D24)))</f>
        <v>0</v>
      </c>
      <c r="E36" s="421">
        <f>IF($C$29="Very High",E26,IF($C$29="High",E25,IF($C$29="Error",0,E24)))</f>
        <v>0</v>
      </c>
      <c r="F36" s="421">
        <f>IF($C$29="Very High",F26,IF($C$29="High",F25,IF($C$29="Error",0,F24)))</f>
        <v>0</v>
      </c>
      <c r="G36" s="421">
        <f>IF($C$29="Very High",G26,IF($C$29="High",G25,IF($C$29="Error",0,G24)))</f>
        <v>0</v>
      </c>
      <c r="J36" s="428"/>
      <c r="K36" s="437"/>
      <c r="L36" s="428"/>
      <c r="M36" s="437"/>
      <c r="O36" s="432">
        <f t="shared" si="0"/>
        <v>20</v>
      </c>
      <c r="Q36" s="433">
        <f>'Meteorological data'!G36</f>
        <v>7.6484018264840184E-3</v>
      </c>
      <c r="R36" s="434">
        <v>67</v>
      </c>
      <c r="S36" s="435">
        <f>R36*((24-HP!$B$30)/24)</f>
        <v>67</v>
      </c>
      <c r="U36" s="435">
        <f t="shared" si="2"/>
        <v>19.033892710432095</v>
      </c>
      <c r="V36" s="435">
        <f>IF(HP!$N$12=TRUE,(T36+U36),T36)</f>
        <v>0</v>
      </c>
      <c r="W36" s="424" t="s">
        <v>2</v>
      </c>
      <c r="X36" s="422" t="s">
        <v>1250</v>
      </c>
      <c r="AC36" s="428"/>
      <c r="AD36" s="437"/>
    </row>
    <row r="37" spans="1:30" ht="90" customHeight="1">
      <c r="A37" s="428" t="s">
        <v>1251</v>
      </c>
      <c r="B37" s="421" t="s">
        <v>1252</v>
      </c>
      <c r="C37" s="445" t="e">
        <f>HP!$B$19+((HP!$B$27/2)*((HP!$B$19-C3)/(HP!$B$19-HP!$B$18)))+((AVERAGE(55,(55-HP!B27))-HP!$B$19)*((HP!$B$19-C3)/(HP!$B$19-HP!$B$18))^(1/HP!$B$26))</f>
        <v>#VALUE!</v>
      </c>
      <c r="D37" s="445">
        <f>HP!$B$19+(((HP!$B$27)/2)*((HP!$B$19-D3)/(HP!$B$19-HP!$B$18)))+((AVERAGE(55,(55-HP!$B$27))-HP!$B$19)*((HP!$B$19-D3)/(HP!$B$19-HP!$B$18))^(1/HP!$B$26))</f>
        <v>60.640194042880587</v>
      </c>
      <c r="E37" s="445">
        <f>HP!$B$19+(((HP!$B$27)/2)*((HP!$B$19-E3)/(HP!$B$19-HP!$B$18)))+((AVERAGE(55,(55-HP!$B$27))-HP!$B$19)*((HP!$B$19-E3)/(HP!$B$19-HP!$B$18))^(1/HP!$B$26))</f>
        <v>47.737547795040236</v>
      </c>
      <c r="F37" s="445">
        <f>HP!$B$19+(((HP!$B$27)/2)*((HP!$B$19-F3)/(HP!$B$19-HP!$B$18)))+((AVERAGE(55,(55-HP!$B$27))-HP!$B$19)*((HP!$B$19-F3)/(HP!$B$19-HP!$B$18))^(1/HP!$B$26))</f>
        <v>40.157921700660644</v>
      </c>
      <c r="G37" s="445">
        <f>HP!$B$19+(((HP!$B$27)/2)*((HP!$B$19-G3)/(HP!$B$19-HP!$B$18)))+((AVERAGE(55,(55-HP!$B$27))-HP!$B$19)*((HP!$B$19-G3)/(HP!$B$19-HP!$B$18))^(1/HP!$B$26))</f>
        <v>32.088285312900695</v>
      </c>
      <c r="I37" s="430" t="s">
        <v>1253</v>
      </c>
      <c r="J37" s="428"/>
      <c r="K37" s="437"/>
      <c r="L37" s="428"/>
      <c r="M37" s="437"/>
      <c r="O37" s="432">
        <f t="shared" si="0"/>
        <v>21</v>
      </c>
      <c r="Q37" s="433">
        <f>'Meteorological data'!G37</f>
        <v>4.2237442922374432E-3</v>
      </c>
      <c r="R37" s="434">
        <v>37</v>
      </c>
      <c r="S37" s="435">
        <f>R37*((24-HP!$B$30)/24)</f>
        <v>37</v>
      </c>
      <c r="U37" s="435">
        <f t="shared" si="2"/>
        <v>10.511254183372948</v>
      </c>
      <c r="V37" s="435">
        <f>IF(HP!$N$12=TRUE,(T37+U37),T37)</f>
        <v>0</v>
      </c>
      <c r="W37" s="424" t="s">
        <v>2</v>
      </c>
      <c r="AC37" s="428"/>
      <c r="AD37" s="437"/>
    </row>
    <row r="38" spans="1:30">
      <c r="A38" s="421" t="s">
        <v>1254</v>
      </c>
      <c r="B38" s="422" t="s">
        <v>1255</v>
      </c>
      <c r="C38" s="421" t="str">
        <f>IF(OR(HP!$B$12="Air to Water",HP!$B$12="Air to Air"),C3,IF(HP!$B$12="Exhaust Air to Water",HP!B19,IF(OR(HP!$B$12="Water to Water",HP!$B$12="Water to Air"),10,MAX(0,MIN(0.15*C3+1.5,4.5)))))</f>
        <v xml:space="preserve"> </v>
      </c>
      <c r="D38" s="421">
        <f>IF(OR(HP!$B$12="Air to Water",HP!$B$12="Air to Air"),D3,IF(HP!$B$12="Exhaust Air to Water",HP!B19,IF(OR(HP!$B$12="Water to Water",HP!$B$12="Water to Air"),10,MAX(0,MIN(0.15*D3+1.5,4.5)))))</f>
        <v>-7</v>
      </c>
      <c r="E38" s="421">
        <f>IF(OR(HP!$B$12="Air to Water",HP!$B$12="Air to Air"),E3,IF(HP!$B$12="Exhaust Air to Water",HP!B19,IF(OR(HP!$B$12="Water to Water",HP!$B$12="Water to Air"),10,MAX(0,MIN(0.15*E3+1.5,4.5)))))</f>
        <v>2</v>
      </c>
      <c r="F38" s="421">
        <f>IF(OR(HP!$B$12="Air to Water",HP!$B$12="Air to Air"),F3,IF(HP!$B$12="Exhaust Air to Water",HP!B19,IF(OR(HP!$B$12="Water to Water",HP!$B$12="Water to Air"),10,MAX(0,MIN(0.15*F3+1.5,4.5)))))</f>
        <v>7</v>
      </c>
      <c r="G38" s="421">
        <f>IF(OR(HP!$B$12="Air to Water",HP!$B$12="Air to Air"),G3,IF(HP!$B$12="Exhaust Air to Water",HP!B19,IF(OR(HP!$B$12="Water to Water",HP!$B$12="Water to Air"),10,MAX(0,MIN(0.15*G3+1.5,4.5)))))</f>
        <v>12</v>
      </c>
      <c r="J38" s="428"/>
      <c r="K38" s="427"/>
      <c r="L38" s="428"/>
      <c r="M38" s="427"/>
      <c r="N38" s="422"/>
      <c r="O38" s="432">
        <f t="shared" si="0"/>
        <v>22</v>
      </c>
      <c r="Q38" s="433">
        <f>'Meteorological data'!G38</f>
        <v>3.0821917808219177E-3</v>
      </c>
      <c r="R38" s="434">
        <v>27</v>
      </c>
      <c r="S38" s="435">
        <f>R38*((24-HP!$B$30)/24)</f>
        <v>27</v>
      </c>
      <c r="U38" s="435">
        <f t="shared" si="2"/>
        <v>7.6703746743532317</v>
      </c>
      <c r="V38" s="435">
        <f>IF(HP!$N$12=TRUE,(T38+U38),T38)</f>
        <v>0</v>
      </c>
      <c r="W38" s="424" t="s">
        <v>2</v>
      </c>
      <c r="AC38" s="428"/>
      <c r="AD38" s="437"/>
    </row>
    <row r="39" spans="1:30" ht="119.25" customHeight="1">
      <c r="A39" s="421" t="s">
        <v>1256</v>
      </c>
      <c r="B39" s="421" t="s">
        <v>1257</v>
      </c>
      <c r="C39" s="435" t="e">
        <f>HP!$B$19+(((HP!$B$25-HP!$B$28)/2)*((HP!$B$19-C3)/(HP!$B$19-HP!$B$18)))+((AVERAGE(HP!$B$25,HP!$B$28)-HP!$B$19)*((HP!$B$19-C3)/(HP!$B$19-HP!$B$18))^(1/HP!$B$26))</f>
        <v>#VALUE!</v>
      </c>
      <c r="D39" s="435">
        <f>HP!$B$19+(((HP!$B$25-HP!$B$28)/2)*((HP!$B$19-D3)/(HP!$B$19-HP!$B$18)))+((AVERAGE(HP!$B$25,HP!$B$28)-HP!$B$19)*((HP!$B$19-D3)/(HP!$B$19-HP!$B$18))^(1/HP!$B$26))</f>
        <v>66.395498652959873</v>
      </c>
      <c r="E39" s="435">
        <f>HP!$B$19+(((HP!$B$25-HP!$B$28)/2)*((HP!$B$19-E3)/(HP!$B$19-HP!$B$18)))+((AVERAGE(HP!$B$25,HP!$B$28)-HP!$B$19)*((HP!$B$19-E3)/(HP!$B$19-HP!$B$18))^(1/HP!$B$26))</f>
        <v>51.759463488223687</v>
      </c>
      <c r="F39" s="435">
        <f>HP!$B$19+(((HP!$B$25-HP!$B$28)/2)*((HP!$B$19-F3)/(HP!$B$19-HP!$B$18)))+((AVERAGE(HP!$B$25,HP!$B$28)-HP!$B$19)*((HP!$B$19-F3)/(HP!$B$19-HP!$B$18))^(1/HP!$B$26))</f>
        <v>43.151005264720368</v>
      </c>
      <c r="G39" s="435">
        <f>HP!$B$19+(((HP!$B$25-HP!$B$28)/2)*((HP!$B$19-G3)/(HP!$B$19-HP!$B$18)))+((AVERAGE(HP!$B$25,HP!$B$28)-HP!$B$19)*((HP!$B$19-G3)/(HP!$B$19-HP!$B$18))^(1/HP!$B$26))</f>
        <v>33.974135100895843</v>
      </c>
      <c r="H39" s="421" t="s">
        <v>2</v>
      </c>
      <c r="L39" s="428"/>
      <c r="M39" s="427"/>
      <c r="O39" s="432">
        <f t="shared" si="0"/>
        <v>23</v>
      </c>
      <c r="Q39" s="433">
        <f>'Meteorological data'!G39</f>
        <v>2.2831050228310501E-3</v>
      </c>
      <c r="R39" s="434">
        <v>20</v>
      </c>
      <c r="S39" s="435">
        <f>R39*((24-HP!$B$30)/24)</f>
        <v>20</v>
      </c>
      <c r="U39" s="435">
        <f t="shared" si="2"/>
        <v>5.6817590180394308</v>
      </c>
      <c r="V39" s="435">
        <f>IF(HP!$N$12=TRUE,(T39+U39),T39)</f>
        <v>0</v>
      </c>
      <c r="W39" s="424" t="s">
        <v>2</v>
      </c>
      <c r="AC39" s="428"/>
      <c r="AD39" s="437"/>
    </row>
    <row r="40" spans="1:30">
      <c r="A40" s="421" t="s">
        <v>1258</v>
      </c>
      <c r="B40" s="421" t="s">
        <v>1259</v>
      </c>
      <c r="C40" s="874" t="s">
        <v>1260</v>
      </c>
      <c r="D40" s="874"/>
      <c r="E40" s="874"/>
      <c r="F40" s="874"/>
      <c r="G40" s="874"/>
      <c r="H40" s="874"/>
      <c r="J40" s="428"/>
      <c r="K40" s="428"/>
      <c r="L40" s="428"/>
      <c r="M40" s="428"/>
      <c r="N40" s="422"/>
      <c r="O40" s="432">
        <f t="shared" si="0"/>
        <v>24</v>
      </c>
      <c r="Q40" s="433">
        <f>'Meteorological data'!G40</f>
        <v>1.4840182648401827E-3</v>
      </c>
      <c r="R40" s="434">
        <v>13</v>
      </c>
      <c r="S40" s="435">
        <f>R40*((24-HP!$B$30)/24)</f>
        <v>13</v>
      </c>
      <c r="U40" s="435">
        <f t="shared" si="2"/>
        <v>3.6931433617256304</v>
      </c>
      <c r="V40" s="435">
        <f>IF(HP!$N$12=TRUE,(T40+U40),T40)</f>
        <v>0</v>
      </c>
      <c r="W40" s="424" t="s">
        <v>2</v>
      </c>
    </row>
    <row r="41" spans="1:30" ht="102">
      <c r="A41" s="421" t="s">
        <v>1261</v>
      </c>
      <c r="B41" s="421" t="s">
        <v>1262</v>
      </c>
      <c r="C41" s="424">
        <f>IF($C$29="Error",C35,((C36-C35)/(C32-C31))*(C39-C31)+C35)</f>
        <v>0</v>
      </c>
      <c r="D41" s="424">
        <f>IF($C$29="Error",D35,((D36-D35)/(D32-D31))*(D39-D31)+D35)</f>
        <v>0</v>
      </c>
      <c r="E41" s="424">
        <f>IF($C$29="Error",E35,((E36-E35)/(E32-E31))*(E39-E31)+E35)</f>
        <v>0</v>
      </c>
      <c r="F41" s="424">
        <f>IF($C$29="Error",F35,((F36-F35)/(F32-F31))*(F39-F31)+F35)</f>
        <v>0</v>
      </c>
      <c r="G41" s="424">
        <f>IF($C$29="Error",G35,((G36-G35)/(G32-G31))*(G39-G31)+G35)</f>
        <v>0</v>
      </c>
      <c r="I41" s="430" t="s">
        <v>1263</v>
      </c>
      <c r="J41" s="428"/>
      <c r="K41" s="437"/>
      <c r="L41" s="428"/>
      <c r="M41" s="437"/>
      <c r="N41" s="446"/>
      <c r="O41" s="432">
        <f t="shared" si="0"/>
        <v>25</v>
      </c>
      <c r="Q41" s="433">
        <f>'Meteorological data'!G41</f>
        <v>0</v>
      </c>
      <c r="R41" s="434">
        <v>0</v>
      </c>
      <c r="S41" s="435">
        <f>R41*((24-HP!$B$30)/24)</f>
        <v>0</v>
      </c>
      <c r="U41" s="435">
        <f t="shared" si="2"/>
        <v>0</v>
      </c>
      <c r="V41" s="435">
        <f>IF(HP!$N$12=TRUE,(T41+U41),T41)</f>
        <v>0</v>
      </c>
      <c r="W41" s="424" t="s">
        <v>2</v>
      </c>
    </row>
    <row r="42" spans="1:30">
      <c r="C42" s="435"/>
      <c r="D42" s="435"/>
      <c r="E42" s="435"/>
      <c r="F42" s="435"/>
      <c r="G42" s="435"/>
      <c r="J42" s="428"/>
      <c r="K42" s="437"/>
      <c r="L42" s="428"/>
      <c r="M42" s="437"/>
      <c r="O42" s="432">
        <f t="shared" si="0"/>
        <v>26</v>
      </c>
      <c r="Q42" s="433">
        <f>'Meteorological data'!G42</f>
        <v>0</v>
      </c>
      <c r="R42" s="434">
        <v>0</v>
      </c>
      <c r="S42" s="435">
        <f>R42*((24-HP!$B$30)/24)</f>
        <v>0</v>
      </c>
      <c r="U42" s="435">
        <f t="shared" si="2"/>
        <v>0</v>
      </c>
      <c r="V42" s="435">
        <f>IF(HP!$N$12=TRUE,(T42+U42),T42)</f>
        <v>0</v>
      </c>
      <c r="W42" s="424" t="s">
        <v>2</v>
      </c>
    </row>
    <row r="43" spans="1:30" ht="63.75">
      <c r="A43" s="421" t="s">
        <v>1264</v>
      </c>
      <c r="B43" s="421" t="s">
        <v>1265</v>
      </c>
      <c r="C43" s="421">
        <f>IF(C28="Low",F35,F35)</f>
        <v>0</v>
      </c>
      <c r="D43" s="421" t="s">
        <v>1139</v>
      </c>
      <c r="I43" s="429" t="s">
        <v>1266</v>
      </c>
      <c r="J43" s="428"/>
      <c r="K43" s="437"/>
      <c r="L43" s="428"/>
      <c r="M43" s="437"/>
      <c r="N43" s="446"/>
      <c r="O43" s="432">
        <f t="shared" si="0"/>
        <v>27</v>
      </c>
      <c r="Q43" s="433">
        <f>'Meteorological data'!G43</f>
        <v>0</v>
      </c>
      <c r="R43" s="434">
        <v>0</v>
      </c>
      <c r="S43" s="435">
        <f>R43*((24-HP!$B$30)/24)</f>
        <v>0</v>
      </c>
      <c r="U43" s="435">
        <f t="shared" si="2"/>
        <v>0</v>
      </c>
      <c r="V43" s="435">
        <f>IF(HP!$N$12=TRUE,(T43+U43),T43)</f>
        <v>0</v>
      </c>
      <c r="W43" s="424" t="s">
        <v>2</v>
      </c>
    </row>
    <row r="44" spans="1:30">
      <c r="A44" s="421" t="s">
        <v>1267</v>
      </c>
      <c r="B44" s="421" t="s">
        <v>1268</v>
      </c>
      <c r="C44" s="424">
        <f>C43/(4.182*5)</f>
        <v>0</v>
      </c>
      <c r="D44" s="424" t="s">
        <v>2</v>
      </c>
      <c r="F44" s="424" t="s">
        <v>2</v>
      </c>
      <c r="G44" s="424" t="s">
        <v>2</v>
      </c>
      <c r="I44" s="421" t="s">
        <v>1269</v>
      </c>
      <c r="J44" s="428"/>
      <c r="K44" s="437"/>
      <c r="L44" s="428"/>
      <c r="M44" s="437"/>
      <c r="O44" s="432">
        <f t="shared" si="0"/>
        <v>28</v>
      </c>
      <c r="Q44" s="433">
        <f>'Meteorological data'!G44</f>
        <v>0</v>
      </c>
      <c r="R44" s="434">
        <v>0</v>
      </c>
      <c r="S44" s="435">
        <f>R44*((24-HP!$B$30)/24)</f>
        <v>0</v>
      </c>
      <c r="U44" s="435">
        <f t="shared" si="2"/>
        <v>0</v>
      </c>
      <c r="V44" s="435">
        <f>IF(HP!$N$12=TRUE,(T44+U44),T44)</f>
        <v>0</v>
      </c>
      <c r="W44" s="424" t="s">
        <v>2</v>
      </c>
    </row>
    <row r="45" spans="1:30">
      <c r="A45" s="421" t="s">
        <v>1270</v>
      </c>
      <c r="B45" s="421" t="s">
        <v>1271</v>
      </c>
      <c r="C45" s="424" t="e">
        <f>C35/($C$44*4.182)</f>
        <v>#DIV/0!</v>
      </c>
      <c r="D45" s="424" t="e">
        <f t="shared" ref="C45:G46" si="14">D35/($C$44*4.182)</f>
        <v>#DIV/0!</v>
      </c>
      <c r="E45" s="424" t="e">
        <f t="shared" si="14"/>
        <v>#DIV/0!</v>
      </c>
      <c r="F45" s="424" t="e">
        <f t="shared" si="14"/>
        <v>#DIV/0!</v>
      </c>
      <c r="G45" s="424" t="e">
        <f t="shared" si="14"/>
        <v>#DIV/0!</v>
      </c>
      <c r="J45" s="428"/>
      <c r="K45" s="437"/>
      <c r="L45" s="428"/>
      <c r="M45" s="437"/>
      <c r="O45" s="432">
        <f t="shared" si="0"/>
        <v>29</v>
      </c>
      <c r="Q45" s="433">
        <f>'Meteorological data'!G45</f>
        <v>0</v>
      </c>
      <c r="R45" s="434">
        <v>0</v>
      </c>
      <c r="S45" s="435">
        <f>R45*((24-HP!$B$30)/24)</f>
        <v>0</v>
      </c>
      <c r="U45" s="435">
        <f t="shared" si="2"/>
        <v>0</v>
      </c>
      <c r="V45" s="435">
        <f>IF(HP!$N$12=TRUE,(T45+U45),T45)</f>
        <v>0</v>
      </c>
      <c r="W45" s="424" t="s">
        <v>2</v>
      </c>
    </row>
    <row r="46" spans="1:30">
      <c r="A46" s="421" t="s">
        <v>1272</v>
      </c>
      <c r="B46" s="421" t="s">
        <v>1271</v>
      </c>
      <c r="C46" s="424" t="e">
        <f t="shared" si="14"/>
        <v>#DIV/0!</v>
      </c>
      <c r="D46" s="424" t="e">
        <f t="shared" si="14"/>
        <v>#DIV/0!</v>
      </c>
      <c r="E46" s="424" t="e">
        <f t="shared" si="14"/>
        <v>#DIV/0!</v>
      </c>
      <c r="F46" s="424" t="e">
        <f t="shared" si="14"/>
        <v>#DIV/0!</v>
      </c>
      <c r="G46" s="424" t="e">
        <f t="shared" si="14"/>
        <v>#DIV/0!</v>
      </c>
      <c r="J46" s="428"/>
      <c r="K46" s="437"/>
      <c r="L46" s="428"/>
      <c r="M46" s="437"/>
      <c r="O46" s="432">
        <f t="shared" si="0"/>
        <v>30</v>
      </c>
      <c r="Q46" s="433">
        <f>'Meteorological data'!G46</f>
        <v>0</v>
      </c>
      <c r="R46" s="434">
        <v>0</v>
      </c>
      <c r="S46" s="435">
        <f>R46*((24-HP!$B$30)/24)</f>
        <v>0</v>
      </c>
      <c r="U46" s="435">
        <f t="shared" si="2"/>
        <v>0</v>
      </c>
      <c r="V46" s="435">
        <f>IF(HP!$N$12=TRUE,(T46+U46),T46)</f>
        <v>0</v>
      </c>
      <c r="W46" s="424" t="s">
        <v>2</v>
      </c>
    </row>
    <row r="47" spans="1:30">
      <c r="A47" s="421" t="s">
        <v>1273</v>
      </c>
      <c r="B47" s="421" t="s">
        <v>1274</v>
      </c>
      <c r="C47" s="424">
        <f>HP!B4/1000</f>
        <v>2.7509249304736603</v>
      </c>
      <c r="D47" s="424" t="s">
        <v>1139</v>
      </c>
      <c r="E47" s="424"/>
      <c r="F47" s="424"/>
      <c r="G47" s="424"/>
      <c r="I47" s="422" t="s">
        <v>1275</v>
      </c>
      <c r="J47" s="447">
        <f>C43/C47</f>
        <v>0</v>
      </c>
      <c r="K47" s="428"/>
      <c r="L47" s="428"/>
      <c r="M47" s="428"/>
      <c r="N47" s="422"/>
      <c r="O47" s="432">
        <f t="shared" si="0"/>
        <v>31</v>
      </c>
      <c r="Q47" s="433">
        <f>'Meteorological data'!G47</f>
        <v>0</v>
      </c>
      <c r="R47" s="434">
        <v>0</v>
      </c>
      <c r="S47" s="435">
        <f>R47*((24-HP!$B$30)/24)</f>
        <v>0</v>
      </c>
      <c r="U47" s="435">
        <f t="shared" si="2"/>
        <v>0</v>
      </c>
      <c r="V47" s="435">
        <f>IF(HP!$N$12=TRUE,(T47+U47),T47)</f>
        <v>0</v>
      </c>
      <c r="W47" s="424" t="s">
        <v>2</v>
      </c>
    </row>
    <row r="48" spans="1:30">
      <c r="A48" s="421" t="s">
        <v>1276</v>
      </c>
      <c r="B48" s="421" t="s">
        <v>1277</v>
      </c>
      <c r="C48" s="424">
        <f>HP!B25-HP!B28</f>
        <v>10</v>
      </c>
      <c r="D48" s="424"/>
      <c r="E48" s="424"/>
      <c r="F48" s="424"/>
      <c r="G48" s="424"/>
      <c r="J48" s="428"/>
      <c r="K48" s="437"/>
      <c r="L48" s="428"/>
      <c r="M48" s="437"/>
      <c r="O48" s="432">
        <f t="shared" si="0"/>
        <v>32</v>
      </c>
      <c r="Q48" s="433">
        <f>'Meteorological data'!G48</f>
        <v>0</v>
      </c>
      <c r="R48" s="434">
        <v>0</v>
      </c>
      <c r="S48" s="435">
        <f>R48*((24-HP!$B$30)/24)</f>
        <v>0</v>
      </c>
      <c r="U48" s="435">
        <f t="shared" si="2"/>
        <v>0</v>
      </c>
      <c r="V48" s="435">
        <f>IF(HP!$N$12=TRUE,(T48+U48),T48)</f>
        <v>0</v>
      </c>
      <c r="W48" s="424" t="s">
        <v>2</v>
      </c>
    </row>
    <row r="49" spans="1:23">
      <c r="A49" s="421" t="s">
        <v>1278</v>
      </c>
      <c r="B49" s="421" t="s">
        <v>1268</v>
      </c>
      <c r="C49" s="424">
        <f>C47/(C48*4.182)</f>
        <v>6.5780127462306548E-2</v>
      </c>
      <c r="J49" s="428"/>
      <c r="K49" s="427"/>
      <c r="L49" s="428"/>
      <c r="M49" s="427"/>
      <c r="O49" s="432">
        <f t="shared" si="0"/>
        <v>33</v>
      </c>
      <c r="Q49" s="433">
        <f>'Meteorological data'!G49</f>
        <v>0</v>
      </c>
      <c r="R49" s="434">
        <v>0</v>
      </c>
      <c r="S49" s="435">
        <f>R49*((24-HP!$B$30)/24)</f>
        <v>0</v>
      </c>
      <c r="U49" s="435">
        <f t="shared" si="2"/>
        <v>0</v>
      </c>
      <c r="V49" s="435">
        <f>IF(HP!$N$12=TRUE,(T49+U49),T49)</f>
        <v>0</v>
      </c>
      <c r="W49" s="424" t="s">
        <v>2</v>
      </c>
    </row>
    <row r="50" spans="1:23">
      <c r="A50" s="421" t="s">
        <v>1279</v>
      </c>
      <c r="B50" s="421" t="s">
        <v>1271</v>
      </c>
      <c r="C50" s="424">
        <f>C35/($C$49*4.182)</f>
        <v>0</v>
      </c>
      <c r="D50" s="424">
        <f t="shared" ref="D50:G51" si="15">D35/($C$49*4.182)</f>
        <v>0</v>
      </c>
      <c r="E50" s="424">
        <f t="shared" si="15"/>
        <v>0</v>
      </c>
      <c r="F50" s="424">
        <f t="shared" si="15"/>
        <v>0</v>
      </c>
      <c r="G50" s="424">
        <f t="shared" si="15"/>
        <v>0</v>
      </c>
      <c r="J50" s="428"/>
      <c r="K50" s="437"/>
      <c r="L50" s="428"/>
      <c r="M50" s="437"/>
      <c r="O50" s="432">
        <f t="shared" si="0"/>
        <v>34</v>
      </c>
      <c r="Q50" s="433">
        <f>'Meteorological data'!G50</f>
        <v>0</v>
      </c>
      <c r="R50" s="434">
        <v>0</v>
      </c>
      <c r="S50" s="435">
        <f>R50*((24-HP!$B$30)/24)</f>
        <v>0</v>
      </c>
      <c r="U50" s="435">
        <f t="shared" si="2"/>
        <v>0</v>
      </c>
      <c r="V50" s="435">
        <f>IF(HP!$N$12=TRUE,(T50+U50),T50)</f>
        <v>0</v>
      </c>
      <c r="W50" s="424" t="s">
        <v>2</v>
      </c>
    </row>
    <row r="51" spans="1:23">
      <c r="A51" s="421" t="s">
        <v>1280</v>
      </c>
      <c r="B51" s="421" t="s">
        <v>1271</v>
      </c>
      <c r="C51" s="424">
        <f>C36/($C$49*4.182)</f>
        <v>0</v>
      </c>
      <c r="D51" s="424">
        <f t="shared" si="15"/>
        <v>0</v>
      </c>
      <c r="E51" s="424">
        <f t="shared" si="15"/>
        <v>0</v>
      </c>
      <c r="F51" s="424">
        <f t="shared" si="15"/>
        <v>0</v>
      </c>
      <c r="G51" s="424">
        <f t="shared" si="15"/>
        <v>0</v>
      </c>
      <c r="J51" s="428"/>
      <c r="K51" s="437"/>
      <c r="L51" s="428"/>
      <c r="M51" s="437"/>
      <c r="O51" s="432">
        <f t="shared" si="0"/>
        <v>35</v>
      </c>
      <c r="Q51" s="433">
        <f>'Meteorological data'!G51</f>
        <v>0</v>
      </c>
      <c r="R51" s="434">
        <v>0</v>
      </c>
      <c r="S51" s="435">
        <f>R51*((24-HP!$B$30)/24)</f>
        <v>0</v>
      </c>
      <c r="U51" s="435">
        <f t="shared" si="2"/>
        <v>0</v>
      </c>
      <c r="V51" s="435">
        <f>IF(HP!$N$12=TRUE,(T51+U51),T51)</f>
        <v>0</v>
      </c>
      <c r="W51" s="424" t="s">
        <v>2</v>
      </c>
    </row>
    <row r="52" spans="1:23">
      <c r="A52" s="421" t="s">
        <v>1281</v>
      </c>
      <c r="B52" s="421" t="s">
        <v>1282</v>
      </c>
      <c r="C52" s="424" t="e">
        <f>1-((C45-C50)/2)/((273.15+C31)-C45/2+5-(273.15+C38-5))</f>
        <v>#DIV/0!</v>
      </c>
      <c r="D52" s="424" t="e">
        <f>1-((D45-D50)/2)/((273.15+D31)-D45/2+5-(273.15+D38-5))</f>
        <v>#DIV/0!</v>
      </c>
      <c r="E52" s="424" t="e">
        <f>1-((E45-E50)/2)/((273.15+E31)-E45/2+5-(273.15+E38-5))</f>
        <v>#DIV/0!</v>
      </c>
      <c r="F52" s="424" t="e">
        <f>1-((F45-F50)/2)/((273.15+F31)-F45/2+5-(273.15+F38-5))</f>
        <v>#DIV/0!</v>
      </c>
      <c r="G52" s="424" t="e">
        <f>1-((G45-G50)/2)/((273.15+G31)-G45/2+5-(273.15+G38-5))</f>
        <v>#DIV/0!</v>
      </c>
      <c r="J52" s="428"/>
      <c r="K52" s="437"/>
      <c r="L52" s="428"/>
      <c r="M52" s="437"/>
      <c r="Q52" s="433"/>
      <c r="R52" s="433"/>
      <c r="S52" s="433"/>
      <c r="U52" s="435"/>
      <c r="V52" s="435"/>
      <c r="W52" s="424"/>
    </row>
    <row r="53" spans="1:23">
      <c r="A53" s="421" t="s">
        <v>1283</v>
      </c>
      <c r="B53" s="421" t="s">
        <v>1282</v>
      </c>
      <c r="C53" s="424" t="e">
        <f>1-((C46-C51)/2)/((273.15+C32)-C46/2+5-(273.15+C38-5))</f>
        <v>#DIV/0!</v>
      </c>
      <c r="D53" s="424" t="e">
        <f>1-((D46-D51)/2)/((273.15+D32)-D46/2+5-(273.15+D38-5))</f>
        <v>#DIV/0!</v>
      </c>
      <c r="E53" s="424" t="e">
        <f>1-((E46-E51)/2)/((273.15+E32)-E46/2+5-(273.15+E38-5))</f>
        <v>#DIV/0!</v>
      </c>
      <c r="F53" s="424" t="e">
        <f>1-((F46-F51)/2)/((273.15+F32)-F46/2+5-(273.15+F38-5))</f>
        <v>#DIV/0!</v>
      </c>
      <c r="G53" s="424" t="e">
        <f>1-((G46-G51)/2)/((273.15+G32)-G46/2+5-(273.15+G38-5))</f>
        <v>#DIV/0!</v>
      </c>
      <c r="J53" s="428"/>
      <c r="K53" s="437"/>
      <c r="L53" s="428"/>
      <c r="M53" s="437"/>
    </row>
    <row r="54" spans="1:23">
      <c r="A54" s="421" t="s">
        <v>1284</v>
      </c>
      <c r="B54" s="421" t="s">
        <v>1282</v>
      </c>
      <c r="C54" s="435" t="e">
        <f>C33*C52</f>
        <v>#DIV/0!</v>
      </c>
      <c r="D54" s="435" t="e">
        <f>D33*D52</f>
        <v>#DIV/0!</v>
      </c>
      <c r="E54" s="435" t="e">
        <f t="shared" ref="D54:G55" si="16">E33*E52</f>
        <v>#DIV/0!</v>
      </c>
      <c r="F54" s="435" t="e">
        <f t="shared" si="16"/>
        <v>#DIV/0!</v>
      </c>
      <c r="G54" s="435" t="e">
        <f t="shared" si="16"/>
        <v>#DIV/0!</v>
      </c>
      <c r="J54" s="428"/>
      <c r="K54" s="437"/>
      <c r="L54" s="428"/>
      <c r="M54" s="437"/>
    </row>
    <row r="55" spans="1:23">
      <c r="A55" s="421" t="s">
        <v>1285</v>
      </c>
      <c r="B55" s="421" t="s">
        <v>1282</v>
      </c>
      <c r="C55" s="424" t="e">
        <f>C34*C53</f>
        <v>#DIV/0!</v>
      </c>
      <c r="D55" s="424" t="e">
        <f t="shared" si="16"/>
        <v>#DIV/0!</v>
      </c>
      <c r="E55" s="424" t="e">
        <f t="shared" si="16"/>
        <v>#DIV/0!</v>
      </c>
      <c r="F55" s="424" t="e">
        <f t="shared" si="16"/>
        <v>#DIV/0!</v>
      </c>
      <c r="G55" s="424" t="e">
        <f>G34*G53</f>
        <v>#DIV/0!</v>
      </c>
      <c r="J55" s="428"/>
      <c r="K55" s="437"/>
      <c r="L55" s="428"/>
      <c r="M55" s="437"/>
    </row>
    <row r="56" spans="1:23" ht="165.75">
      <c r="A56" s="421" t="s">
        <v>1286</v>
      </c>
      <c r="B56" s="430" t="s">
        <v>1287</v>
      </c>
      <c r="C56" s="424" t="e">
        <f>MAX(0.5,IF($C$29="Error",IF(HP!B13="Fixed Outlet",C54,C54*(((273.15+C37)*(C31-C6))/((273.15+C31)*(C37-C38)))),((C55-C54)/(C32-C31))*(C39-C31)+C54))</f>
        <v>#DIV/0!</v>
      </c>
      <c r="D56" s="424" t="e">
        <f>MAX(0.5,IF($C$29="Error",IF(HP!B13="Fixed Outlet",D54,D54*(((273.15+D37)*(D31-D6))/((273.15+D31)*(D37-D38)))),((D55-D54)/(D32-D31))*(D39-D31)+D54))</f>
        <v>#DIV/0!</v>
      </c>
      <c r="E56" s="424" t="e">
        <f>MAX(0.5,IF($C$29="Error",IF(HP!B13="Fixed Outlet",E54,E54*(((273.15+E37)*(E31-E6))/((273.15+E31)*(E37-E38)))),((E55-E54)/(E32-E31))*(E39-E31)+E54))</f>
        <v>#DIV/0!</v>
      </c>
      <c r="F56" s="424" t="e">
        <f>MAX(0.5,IF($C$29="Error",IF(HP!B13="Fixed Outlet",F54,F54*(((273.15+F37)*(F31-F6))/((273.15+F31)*(F37-F38)))),((F55-F54)/(F32-F31))*(F39-F31)+F54))</f>
        <v>#DIV/0!</v>
      </c>
      <c r="G56" s="424" t="e">
        <f>MAX(0.5,IF($C$29="Error",IF(HP!B13="Fixed Outlet",G54,G54*(((273.15+G37)*(G31-G6))/((273.15+G31)*(G37-G38)))),((G55-G54)/(G32-G31))*(G39-G31)+G54))</f>
        <v>#DIV/0!</v>
      </c>
      <c r="H56" s="424" t="s">
        <v>2</v>
      </c>
      <c r="I56" s="430" t="s">
        <v>1288</v>
      </c>
      <c r="J56" s="428" t="s">
        <v>2</v>
      </c>
      <c r="K56" s="437"/>
      <c r="L56" s="428"/>
      <c r="M56" s="437"/>
    </row>
    <row r="57" spans="1:23" ht="36" customHeight="1">
      <c r="A57" s="422" t="s">
        <v>2</v>
      </c>
      <c r="B57" s="422" t="s">
        <v>2</v>
      </c>
      <c r="C57" s="422" t="s">
        <v>2</v>
      </c>
      <c r="D57" s="422" t="s">
        <v>2</v>
      </c>
      <c r="E57" s="422" t="s">
        <v>2</v>
      </c>
      <c r="F57" s="422" t="s">
        <v>2</v>
      </c>
      <c r="G57" s="422" t="s">
        <v>2</v>
      </c>
      <c r="H57" s="422" t="s">
        <v>2</v>
      </c>
      <c r="J57" s="428"/>
      <c r="K57" s="437"/>
      <c r="L57" s="428"/>
      <c r="M57" s="437"/>
    </row>
    <row r="58" spans="1:23">
      <c r="A58" s="421" t="s">
        <v>1289</v>
      </c>
      <c r="C58" s="421" t="s">
        <v>1290</v>
      </c>
      <c r="J58" s="428"/>
      <c r="K58" s="437"/>
      <c r="L58" s="428"/>
      <c r="M58" s="437"/>
    </row>
    <row r="59" spans="1:23">
      <c r="J59" s="428"/>
      <c r="K59" s="437"/>
      <c r="L59" s="428"/>
      <c r="M59" s="437"/>
    </row>
    <row r="60" spans="1:23">
      <c r="A60" s="421" t="s">
        <v>1291</v>
      </c>
      <c r="B60" s="421" t="s">
        <v>396</v>
      </c>
      <c r="C60" s="424">
        <f>C8</f>
        <v>0</v>
      </c>
      <c r="D60" s="424">
        <f>D8</f>
        <v>16.594129731363701</v>
      </c>
      <c r="E60" s="424">
        <f>E8</f>
        <v>851.81512892369096</v>
      </c>
      <c r="F60" s="424">
        <f>F8</f>
        <v>1305.9782466018983</v>
      </c>
      <c r="G60" s="424">
        <f>G8</f>
        <v>646.76632465168768</v>
      </c>
      <c r="H60" s="424">
        <f>SUM(C60:G60)</f>
        <v>2821.1538299086405</v>
      </c>
      <c r="J60" s="428"/>
      <c r="K60" s="437"/>
      <c r="L60" s="428"/>
      <c r="M60" s="437"/>
    </row>
    <row r="61" spans="1:23" ht="25.5">
      <c r="A61" s="429" t="s">
        <v>1292</v>
      </c>
      <c r="B61" s="421" t="s">
        <v>396</v>
      </c>
      <c r="C61" s="435" t="e">
        <f>SUM(AC4:AC7)</f>
        <v>#VALUE!</v>
      </c>
      <c r="D61" s="435" t="e">
        <f>SUM(AC8:AC13)</f>
        <v>#VALUE!</v>
      </c>
      <c r="E61" s="435" t="e">
        <f>SUM(AC14:AC20)</f>
        <v>#DIV/0!</v>
      </c>
      <c r="F61" s="435" t="e">
        <f>SUM(AC21:AC25)</f>
        <v>#DIV/0!</v>
      </c>
      <c r="G61" s="435" t="e">
        <f>SUM(AC26:AC31)</f>
        <v>#DIV/0!</v>
      </c>
      <c r="J61" s="428"/>
      <c r="K61" s="437"/>
      <c r="L61" s="428"/>
      <c r="M61" s="437"/>
      <c r="N61" s="422"/>
    </row>
    <row r="62" spans="1:23" ht="63.75">
      <c r="A62" s="429" t="s">
        <v>1293</v>
      </c>
      <c r="B62" s="421" t="s">
        <v>396</v>
      </c>
      <c r="C62" s="421" t="e">
        <f>C61/HP!$B$36</f>
        <v>#VALUE!</v>
      </c>
      <c r="D62" s="435" t="e">
        <f>D61/HP!$B$36</f>
        <v>#VALUE!</v>
      </c>
      <c r="E62" s="435" t="e">
        <f>E61/HP!$B$36</f>
        <v>#DIV/0!</v>
      </c>
      <c r="F62" s="421" t="e">
        <f>F61/HP!$B$36</f>
        <v>#DIV/0!</v>
      </c>
      <c r="G62" s="421" t="e">
        <f>G61/HP!$B$36</f>
        <v>#DIV/0!</v>
      </c>
      <c r="H62" s="421" t="e">
        <f>SUM(C62:G62)</f>
        <v>#VALUE!</v>
      </c>
      <c r="I62" s="429" t="s">
        <v>1294</v>
      </c>
      <c r="J62" s="428"/>
      <c r="K62" s="437"/>
      <c r="L62" s="428"/>
      <c r="M62" s="437"/>
    </row>
    <row r="63" spans="1:23">
      <c r="A63" s="421" t="s">
        <v>1295</v>
      </c>
      <c r="J63" s="428"/>
      <c r="K63" s="437"/>
      <c r="L63" s="428"/>
      <c r="M63" s="437"/>
    </row>
    <row r="64" spans="1:23">
      <c r="A64" s="421" t="s">
        <v>1296</v>
      </c>
      <c r="J64" s="428"/>
      <c r="K64" s="437"/>
      <c r="L64" s="428"/>
      <c r="M64" s="437"/>
    </row>
    <row r="65" spans="1:29">
      <c r="A65" s="421" t="s">
        <v>1297</v>
      </c>
      <c r="J65" s="428"/>
      <c r="K65" s="437"/>
      <c r="L65" s="428"/>
      <c r="M65" s="437"/>
    </row>
    <row r="66" spans="1:29">
      <c r="J66" s="428"/>
      <c r="K66" s="437"/>
      <c r="L66" s="428"/>
      <c r="M66" s="437"/>
    </row>
    <row r="67" spans="1:29" ht="25.5">
      <c r="A67" s="429" t="s">
        <v>1298</v>
      </c>
      <c r="B67" s="421" t="s">
        <v>396</v>
      </c>
      <c r="C67" s="435" t="e">
        <f>(C60-C61)/C56</f>
        <v>#VALUE!</v>
      </c>
      <c r="D67" s="435" t="e">
        <f>(D60-D61)/D56</f>
        <v>#VALUE!</v>
      </c>
      <c r="E67" s="435" t="e">
        <f>(E60-E61)/E56</f>
        <v>#DIV/0!</v>
      </c>
      <c r="F67" s="435" t="e">
        <f>(F60-F61)/F56</f>
        <v>#DIV/0!</v>
      </c>
      <c r="G67" s="435" t="e">
        <f>(G60-G61)/G56</f>
        <v>#DIV/0!</v>
      </c>
      <c r="H67" s="435" t="e">
        <f>SUM(C67:G67)</f>
        <v>#VALUE!</v>
      </c>
      <c r="J67" s="428"/>
      <c r="K67" s="437"/>
      <c r="L67" s="428"/>
      <c r="M67" s="437"/>
    </row>
    <row r="68" spans="1:29">
      <c r="J68" s="428"/>
      <c r="K68" s="437"/>
      <c r="L68" s="428"/>
      <c r="M68" s="437"/>
    </row>
    <row r="69" spans="1:29">
      <c r="A69" s="421" t="s">
        <v>1299</v>
      </c>
      <c r="B69" s="421" t="s">
        <v>396</v>
      </c>
      <c r="C69" s="435" t="e">
        <f>C62+C67</f>
        <v>#VALUE!</v>
      </c>
      <c r="D69" s="435" t="e">
        <f>D62+D67</f>
        <v>#VALUE!</v>
      </c>
      <c r="E69" s="435" t="e">
        <f>E62+E67</f>
        <v>#DIV/0!</v>
      </c>
      <c r="F69" s="435" t="e">
        <f>F62+F67</f>
        <v>#DIV/0!</v>
      </c>
      <c r="G69" s="435" t="e">
        <f>G62+G67</f>
        <v>#DIV/0!</v>
      </c>
      <c r="H69" s="435" t="e">
        <f>SUM(C69:G69)</f>
        <v>#VALUE!</v>
      </c>
      <c r="J69" s="428"/>
      <c r="K69" s="437"/>
      <c r="L69" s="428"/>
      <c r="M69" s="437"/>
    </row>
    <row r="70" spans="1:29">
      <c r="J70" s="428"/>
      <c r="K70" s="437"/>
      <c r="L70" s="428"/>
      <c r="M70" s="437"/>
    </row>
    <row r="71" spans="1:29">
      <c r="A71" s="421" t="s">
        <v>1300</v>
      </c>
      <c r="H71" s="448" t="e">
        <f>H60/H69</f>
        <v>#VALUE!</v>
      </c>
      <c r="J71" s="428"/>
      <c r="K71" s="437"/>
      <c r="L71" s="428"/>
      <c r="M71" s="437"/>
    </row>
    <row r="72" spans="1:29">
      <c r="J72" s="428"/>
      <c r="K72" s="437"/>
      <c r="L72" s="428"/>
      <c r="M72" s="437"/>
    </row>
    <row r="73" spans="1:29" s="755" customFormat="1">
      <c r="A73" s="755" t="s">
        <v>1301</v>
      </c>
      <c r="H73" s="755" t="e">
        <f>IF(H71&gt;2.5,(H71-2.5)*H69,0)</f>
        <v>#VALUE!</v>
      </c>
      <c r="I73" s="755" t="s">
        <v>396</v>
      </c>
      <c r="J73" s="756"/>
      <c r="K73" s="757"/>
      <c r="L73" s="756"/>
      <c r="M73" s="757"/>
      <c r="AC73" s="758"/>
    </row>
    <row r="74" spans="1:29">
      <c r="J74" s="428"/>
      <c r="K74" s="437"/>
      <c r="L74" s="428"/>
      <c r="M74" s="437"/>
    </row>
    <row r="75" spans="1:29">
      <c r="A75" s="421" t="s">
        <v>1302</v>
      </c>
      <c r="B75" s="421" t="s">
        <v>396</v>
      </c>
      <c r="C75" s="424" t="e">
        <f>C60-C61</f>
        <v>#VALUE!</v>
      </c>
      <c r="D75" s="424" t="e">
        <f>D60-D61</f>
        <v>#VALUE!</v>
      </c>
      <c r="E75" s="424" t="e">
        <f>E60-E61</f>
        <v>#DIV/0!</v>
      </c>
      <c r="F75" s="424" t="e">
        <f>F60-F61</f>
        <v>#DIV/0!</v>
      </c>
      <c r="G75" s="424" t="e">
        <f>G60-G61</f>
        <v>#DIV/0!</v>
      </c>
      <c r="H75" s="424" t="e">
        <f>SUM(C75:G75)</f>
        <v>#VALUE!</v>
      </c>
      <c r="J75" s="428"/>
      <c r="K75" s="437"/>
      <c r="L75" s="428"/>
      <c r="M75" s="437"/>
      <c r="N75" s="429"/>
    </row>
    <row r="76" spans="1:29">
      <c r="J76" s="428"/>
      <c r="K76" s="437"/>
      <c r="L76" s="428"/>
      <c r="M76" s="437"/>
    </row>
    <row r="77" spans="1:29">
      <c r="A77" s="421" t="s">
        <v>1303</v>
      </c>
      <c r="H77" s="449" t="e">
        <f>H75/H67</f>
        <v>#VALUE!</v>
      </c>
      <c r="J77" s="428"/>
      <c r="K77" s="437"/>
      <c r="L77" s="428"/>
      <c r="M77" s="437"/>
    </row>
    <row r="78" spans="1:29">
      <c r="J78" s="428"/>
      <c r="K78" s="437"/>
      <c r="L78" s="428"/>
      <c r="M78" s="437"/>
    </row>
    <row r="79" spans="1:29">
      <c r="A79" s="421" t="s">
        <v>1304</v>
      </c>
      <c r="C79" s="6" t="e">
        <f>(C60-C61)-C67</f>
        <v>#VALUE!</v>
      </c>
      <c r="D79" s="6" t="e">
        <f t="shared" ref="D79:H79" si="17">(D60-D61)-D67</f>
        <v>#VALUE!</v>
      </c>
      <c r="E79" s="6" t="e">
        <f t="shared" si="17"/>
        <v>#DIV/0!</v>
      </c>
      <c r="F79" s="6" t="e">
        <f t="shared" si="17"/>
        <v>#DIV/0!</v>
      </c>
      <c r="G79" s="6" t="e">
        <f>(G60-G61)-G67</f>
        <v>#DIV/0!</v>
      </c>
      <c r="H79" s="6" t="e">
        <f t="shared" si="17"/>
        <v>#VALUE!</v>
      </c>
      <c r="I79" s="421" t="s">
        <v>396</v>
      </c>
      <c r="J79" s="428"/>
      <c r="K79" s="437"/>
      <c r="L79" s="428"/>
      <c r="M79" s="437"/>
      <c r="N79" s="422"/>
    </row>
    <row r="80" spans="1:29">
      <c r="A80" s="212" t="s">
        <v>1305</v>
      </c>
      <c r="B80" s="212"/>
      <c r="C80" s="469" t="e">
        <f>(C41*(1-1/C56)-(Vent!$G$32*1.2/3600)*(20-(C3)))/('Heating Calc'!C41*(1-1/'Heating Calc'!C56))</f>
        <v>#DIV/0!</v>
      </c>
      <c r="D80" s="469" t="e">
        <f>(D41*(1-1/D56)-(Vent!$G$32*1.2/3600)*(20-(D3)))/('Heating Calc'!D41*(1-1/'Heating Calc'!D56))</f>
        <v>#DIV/0!</v>
      </c>
      <c r="E80" s="469" t="e">
        <f>(E41*(1-1/E56)-(Vent!$G$32*1.2/3600)*(20-(E3)))/('Heating Calc'!E41*(1-1/'Heating Calc'!E56))</f>
        <v>#DIV/0!</v>
      </c>
      <c r="F80" s="469" t="e">
        <f>(F41*(1-1/F56)-(Vent!$G$32*1.2/3600)*(20-(F3)))/('Heating Calc'!F41*(1-1/'Heating Calc'!F56))</f>
        <v>#DIV/0!</v>
      </c>
      <c r="G80" s="469" t="e">
        <f>(G41*(1-1/G56)-(Vent!$G$32*1.2/3600)*(20-(G3)))/('Heating Calc'!G41*(1-1/'Heating Calc'!G56))</f>
        <v>#DIV/0!</v>
      </c>
      <c r="J80" s="428"/>
      <c r="K80" s="437"/>
      <c r="L80" s="428"/>
      <c r="M80" s="437"/>
    </row>
    <row r="81" spans="1:14">
      <c r="J81" s="428"/>
      <c r="K81" s="437"/>
      <c r="L81" s="428"/>
      <c r="M81" s="437"/>
    </row>
    <row r="82" spans="1:14">
      <c r="A82" s="422" t="s">
        <v>1306</v>
      </c>
      <c r="C82" s="212" t="e">
        <f>C79*C80</f>
        <v>#VALUE!</v>
      </c>
      <c r="D82" s="212" t="e">
        <f t="shared" ref="D82:G82" si="18">D79*D80</f>
        <v>#VALUE!</v>
      </c>
      <c r="E82" s="212" t="e">
        <f t="shared" si="18"/>
        <v>#DIV/0!</v>
      </c>
      <c r="F82" s="212" t="e">
        <f t="shared" si="18"/>
        <v>#DIV/0!</v>
      </c>
      <c r="G82" s="212" t="e">
        <f t="shared" si="18"/>
        <v>#DIV/0!</v>
      </c>
      <c r="H82" s="470" t="e">
        <f>SUM(C82:G82)</f>
        <v>#VALUE!</v>
      </c>
      <c r="I82" s="421" t="s">
        <v>1307</v>
      </c>
      <c r="J82" s="428"/>
      <c r="K82" s="437"/>
      <c r="L82" s="428"/>
      <c r="M82" s="437"/>
      <c r="N82" s="422"/>
    </row>
    <row r="83" spans="1:14">
      <c r="J83" s="429"/>
    </row>
    <row r="84" spans="1:14">
      <c r="J84" s="429"/>
    </row>
    <row r="85" spans="1:14">
      <c r="H85" s="664" t="e">
        <f>H82/H79</f>
        <v>#VALUE!</v>
      </c>
      <c r="I85" s="421" t="s">
        <v>1369</v>
      </c>
      <c r="J85" s="429"/>
    </row>
    <row r="86" spans="1:14">
      <c r="J86" s="429"/>
    </row>
    <row r="87" spans="1:14">
      <c r="J87" s="429"/>
    </row>
    <row r="88" spans="1:14">
      <c r="J88" s="429"/>
    </row>
    <row r="89" spans="1:14">
      <c r="J89" s="429"/>
    </row>
    <row r="90" spans="1:14">
      <c r="J90" s="429"/>
    </row>
  </sheetData>
  <sheetProtection algorithmName="SHA-512" hashValue="DDsHxTy0OGy/OYS1cPvSgpa+zRn543SwebcLW+Klys5jLV84rCjxh+HF+AKJl/J4kaGU+TJNZQ+NHSpy2Qw5Dg==" saltValue="knf3oFfiAnue3McXWL/zsw==" spinCount="100000" sheet="1" objects="1" scenarios="1"/>
  <autoFilter ref="A1:AD56" xr:uid="{00000000-0009-0000-0000-000001000000}"/>
  <mergeCells count="2">
    <mergeCell ref="AF3:AI3"/>
    <mergeCell ref="C40:H40"/>
  </mergeCells>
  <pageMargins left="0.75" right="0.75" top="1" bottom="1" header="0.5" footer="0.5"/>
  <pageSetup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7EE88-2BD8-493F-A6CB-EC9FB49F6542}">
  <sheetPr codeName="Sheet20"/>
  <dimension ref="A1:V87"/>
  <sheetViews>
    <sheetView zoomScale="85" zoomScaleNormal="85" workbookViewId="0">
      <selection activeCell="B20" sqref="B20"/>
    </sheetView>
  </sheetViews>
  <sheetFormatPr defaultColWidth="9.140625" defaultRowHeight="12.75"/>
  <cols>
    <col min="1" max="1" width="35.7109375" style="212" customWidth="1"/>
    <col min="2" max="11" width="9.140625" style="212"/>
    <col min="12" max="12" width="23" style="5" bestFit="1" customWidth="1"/>
    <col min="13" max="13" width="18.28515625" style="5" customWidth="1"/>
    <col min="14" max="14" width="9.140625" style="5"/>
    <col min="15" max="15" width="9.140625" style="212"/>
    <col min="16" max="16" width="13.5703125" style="212" customWidth="1"/>
    <col min="17" max="16384" width="9.140625" style="212"/>
  </cols>
  <sheetData>
    <row r="1" spans="1:22" ht="15.75">
      <c r="A1" s="212" t="s">
        <v>2</v>
      </c>
      <c r="M1" s="308"/>
      <c r="N1" s="308"/>
      <c r="P1" s="212" t="s">
        <v>1308</v>
      </c>
    </row>
    <row r="2" spans="1:22" ht="15.75">
      <c r="A2" s="3" t="s">
        <v>1309</v>
      </c>
      <c r="M2" s="308"/>
      <c r="P2" s="212" t="s">
        <v>1310</v>
      </c>
      <c r="Q2" s="212" t="s">
        <v>1143</v>
      </c>
      <c r="S2" s="450" t="s">
        <v>1311</v>
      </c>
      <c r="T2" s="450" t="s">
        <v>1312</v>
      </c>
      <c r="U2" s="212" t="s">
        <v>1313</v>
      </c>
      <c r="V2" s="212" t="s">
        <v>1314</v>
      </c>
    </row>
    <row r="3" spans="1:22" ht="15.75">
      <c r="A3" s="212" t="s">
        <v>1315</v>
      </c>
      <c r="B3" s="212">
        <f>HP!B89</f>
        <v>0</v>
      </c>
      <c r="E3" s="212" t="s">
        <v>1316</v>
      </c>
      <c r="M3" s="308"/>
      <c r="P3" s="212" t="s">
        <v>992</v>
      </c>
      <c r="Q3" s="212">
        <v>0.34499999999999997</v>
      </c>
      <c r="R3" s="212">
        <v>7</v>
      </c>
      <c r="S3" s="451" t="s">
        <v>2</v>
      </c>
      <c r="T3" s="451" t="s">
        <v>2</v>
      </c>
      <c r="U3" s="450">
        <f>IF(HP!B5="Yes",0,IF($B$6=P3,IF($B$3&gt;R3,1,0),0))</f>
        <v>0</v>
      </c>
      <c r="V3" s="450">
        <f>IF(HP!B5="Yes",0,IF($B$6=P3,IF(HP!$B$73&gt;R3,1,0),0))</f>
        <v>0</v>
      </c>
    </row>
    <row r="4" spans="1:22" ht="15.75">
      <c r="A4" s="212" t="s">
        <v>1317</v>
      </c>
      <c r="B4" s="212">
        <f>HP!B72</f>
        <v>65</v>
      </c>
      <c r="C4" s="212" t="s">
        <v>1318</v>
      </c>
      <c r="M4" s="308"/>
      <c r="P4" s="212" t="s">
        <v>1001</v>
      </c>
      <c r="Q4" s="212">
        <v>2.1</v>
      </c>
      <c r="R4" s="212">
        <v>15</v>
      </c>
      <c r="S4" s="451" t="s">
        <v>2</v>
      </c>
      <c r="T4" s="451" t="s">
        <v>2</v>
      </c>
      <c r="U4" s="450">
        <f>IF(HP!B5="Yes",0,IF($B$6=P4,IF($B$3&gt;R4,1,0),0))</f>
        <v>0</v>
      </c>
      <c r="V4" s="450">
        <f>IF(HP!B5="Yes",0,IF($B$6=P4,IF(HP!$B$73&gt;R4,1,0),0))</f>
        <v>0</v>
      </c>
    </row>
    <row r="5" spans="1:22">
      <c r="A5" s="212" t="s">
        <v>1319</v>
      </c>
      <c r="B5" s="212">
        <f>HP!B88</f>
        <v>0</v>
      </c>
      <c r="C5" s="212" t="s">
        <v>1143</v>
      </c>
      <c r="E5" s="212" t="s">
        <v>1316</v>
      </c>
      <c r="P5" s="212" t="s">
        <v>1012</v>
      </c>
      <c r="Q5" s="212">
        <v>2.1</v>
      </c>
      <c r="R5" s="212">
        <v>15</v>
      </c>
      <c r="S5" s="451" t="s">
        <v>2</v>
      </c>
      <c r="T5" s="451" t="s">
        <v>2</v>
      </c>
      <c r="U5" s="450">
        <f>IF(HP!B5="Yes",0,IF($B$6=P5,IF($B$3&gt;R5,1,0),0))</f>
        <v>0</v>
      </c>
      <c r="V5" s="450">
        <f>IF(HP!B5="Yes",0,IF($B$6=P5,IF(HP!$B$73&gt;R5,1,0),0))</f>
        <v>0</v>
      </c>
    </row>
    <row r="6" spans="1:22">
      <c r="A6" s="212" t="s">
        <v>1141</v>
      </c>
      <c r="B6" s="212" t="str">
        <f>HP!B87</f>
        <v>M</v>
      </c>
      <c r="P6" s="212" t="s">
        <v>1022</v>
      </c>
      <c r="Q6" s="212">
        <v>2.1</v>
      </c>
      <c r="R6" s="212">
        <v>36</v>
      </c>
      <c r="S6" s="451" t="s">
        <v>2</v>
      </c>
      <c r="T6" s="451" t="s">
        <v>2</v>
      </c>
      <c r="U6" s="450">
        <f>IF(HP!B5="Yes",0,IF($B$6=P6,IF($B$3&gt;R6,1,0),0))</f>
        <v>0</v>
      </c>
      <c r="V6" s="450">
        <f>IF(HP!B5="Yes",0,IF($B$6=P6,IF(HP!$B$73&gt;R6,1,0),0))</f>
        <v>0</v>
      </c>
    </row>
    <row r="7" spans="1:22">
      <c r="A7" s="212" t="s">
        <v>1320</v>
      </c>
      <c r="B7" s="212">
        <f>VLOOKUP(B6,P3:R13,3,)</f>
        <v>65</v>
      </c>
      <c r="C7" s="212" t="s">
        <v>1146</v>
      </c>
      <c r="E7" s="212" t="s">
        <v>2</v>
      </c>
      <c r="G7" s="452" t="s">
        <v>2</v>
      </c>
      <c r="M7" s="453"/>
      <c r="P7" s="212" t="s">
        <v>1027</v>
      </c>
      <c r="Q7" s="212">
        <v>5.8449999999999998</v>
      </c>
      <c r="R7" s="212">
        <v>65</v>
      </c>
      <c r="S7" s="6">
        <f>R7/((HP!$B$84-10)/30)</f>
        <v>-195</v>
      </c>
      <c r="T7" s="6">
        <f t="shared" ref="T7:T12" si="0">R7/((60-10)/30)</f>
        <v>39</v>
      </c>
      <c r="U7" s="450">
        <f>IF(HP!B5="Yes",0,IF($B$6=P7,IF($B$3&lt;S7,1,0),0))</f>
        <v>0</v>
      </c>
      <c r="V7" s="450">
        <f>IF(HP!B5="Yes",0,IF($B$6=P7,IF(HP!$B$73&lt;T7,1,0),0))</f>
        <v>0</v>
      </c>
    </row>
    <row r="8" spans="1:22">
      <c r="A8" s="212" t="s">
        <v>1321</v>
      </c>
      <c r="B8" s="212">
        <f>VLOOKUP(B6,P3:Q13,2,)</f>
        <v>5.8449999999999998</v>
      </c>
      <c r="C8" s="212" t="s">
        <v>1143</v>
      </c>
      <c r="E8" s="212" t="s">
        <v>1322</v>
      </c>
      <c r="P8" s="212" t="s">
        <v>1031</v>
      </c>
      <c r="Q8" s="212">
        <v>11.654999999999999</v>
      </c>
      <c r="R8" s="212">
        <v>130</v>
      </c>
      <c r="S8" s="6">
        <f>R8/((HP!$B$84-10)/30)</f>
        <v>-390</v>
      </c>
      <c r="T8" s="6">
        <f t="shared" si="0"/>
        <v>78</v>
      </c>
      <c r="U8" s="450">
        <f>IF(HP!B5="Yes",0,IF($B$6=P8,IF($B$3&lt;S8,1,0),0))</f>
        <v>0</v>
      </c>
      <c r="V8" s="450">
        <f>IF(HP!B5="Yes",0,IF($B$6=P8,IF(HP!$B$73&lt;T8,1,0),0))</f>
        <v>0</v>
      </c>
    </row>
    <row r="9" spans="1:22">
      <c r="A9" s="212" t="s">
        <v>1323</v>
      </c>
      <c r="B9" s="212">
        <f>HP!B83</f>
        <v>0</v>
      </c>
      <c r="P9" s="212" t="s">
        <v>1036</v>
      </c>
      <c r="Q9" s="212">
        <v>19.07</v>
      </c>
      <c r="R9" s="212">
        <v>210</v>
      </c>
      <c r="S9" s="6">
        <f>R9/((HP!$B$84-10)/30)</f>
        <v>-630</v>
      </c>
      <c r="T9" s="6">
        <f t="shared" si="0"/>
        <v>126</v>
      </c>
      <c r="U9" s="450">
        <f>IF(HP!B5="Yes",0,IF($B$6=P9,IF($B$3&lt;S9,1,0),0))</f>
        <v>0</v>
      </c>
      <c r="V9" s="450">
        <f>IF(HP!B5="Yes",0,IF($B$6=P9,IF(HP!$B$73&lt;T9,1,0),0))</f>
        <v>0</v>
      </c>
    </row>
    <row r="10" spans="1:22">
      <c r="A10" s="212" t="s">
        <v>1138</v>
      </c>
      <c r="B10" s="212">
        <f>HP!B86</f>
        <v>0</v>
      </c>
      <c r="C10" s="212" t="s">
        <v>1139</v>
      </c>
      <c r="P10" s="212" t="s">
        <v>1039</v>
      </c>
      <c r="Q10" s="212">
        <v>24.53</v>
      </c>
      <c r="R10" s="212">
        <v>300</v>
      </c>
      <c r="S10" s="6">
        <f>R10/((HP!$B$84-10)/30)</f>
        <v>-900</v>
      </c>
      <c r="T10" s="6">
        <f t="shared" si="0"/>
        <v>180</v>
      </c>
      <c r="U10" s="450">
        <f>IF(HP!B5="Yes",0,IF($B$6=P10,IF($B$3&lt;S10,1,0),0))</f>
        <v>0</v>
      </c>
      <c r="V10" s="450">
        <f>IF(HP!B5="Yes",0,IF($B$6=P10,IF(HP!$B$73&lt;T10,1,0),0))</f>
        <v>0</v>
      </c>
    </row>
    <row r="11" spans="1:22">
      <c r="A11" s="212" t="s">
        <v>2</v>
      </c>
      <c r="P11" s="212" t="s">
        <v>1040</v>
      </c>
      <c r="Q11" s="212">
        <v>46.76</v>
      </c>
      <c r="R11" s="212">
        <v>520</v>
      </c>
      <c r="S11" s="6">
        <f>R11/((HP!$B$84-10)/30)</f>
        <v>-1560</v>
      </c>
      <c r="T11" s="6">
        <f t="shared" si="0"/>
        <v>312</v>
      </c>
      <c r="U11" s="450">
        <f>IF(HP!B5="Yes",0,IF($B$6=P11,IF($B$3&lt;S11,1,0),0))</f>
        <v>0</v>
      </c>
      <c r="V11" s="450">
        <f>IF(HP!B5="Yes",0,IF($B$6=P11,IF(HP!$B$73&lt;T11,1,0),0))</f>
        <v>0</v>
      </c>
    </row>
    <row r="12" spans="1:22">
      <c r="A12" s="212" t="s">
        <v>1324</v>
      </c>
      <c r="B12" s="454">
        <f>B9*(1+B5/B8)</f>
        <v>0</v>
      </c>
      <c r="E12" s="450" t="s">
        <v>1325</v>
      </c>
      <c r="P12" s="212" t="s">
        <v>1044</v>
      </c>
      <c r="Q12" s="212">
        <v>93.52</v>
      </c>
      <c r="R12" s="212">
        <v>1040</v>
      </c>
      <c r="S12" s="6">
        <f>R12/((HP!$B$84-10)/30)</f>
        <v>-3120</v>
      </c>
      <c r="T12" s="6">
        <f t="shared" si="0"/>
        <v>624</v>
      </c>
      <c r="U12" s="450">
        <f>IF(HP!B5="Yes",0,IF($B$6=P12,IF($B$3&lt;S12,1,0),0))</f>
        <v>0</v>
      </c>
      <c r="V12" s="450">
        <f>IF(HP!B5="Yes",0,IF($B$6=P12,IF(HP!$B$73&lt;T12,1,0),0))</f>
        <v>0</v>
      </c>
    </row>
    <row r="13" spans="1:22">
      <c r="P13" s="212">
        <v>0</v>
      </c>
    </row>
    <row r="14" spans="1:22" ht="14.25">
      <c r="A14" s="212" t="s">
        <v>1326</v>
      </c>
      <c r="B14" s="212">
        <f>HP!B84</f>
        <v>0</v>
      </c>
      <c r="C14" s="450" t="s">
        <v>1327</v>
      </c>
      <c r="U14" s="212">
        <f>SUM(U3:U13)</f>
        <v>0</v>
      </c>
      <c r="V14" s="212">
        <f>SUM(V3:V13)</f>
        <v>0</v>
      </c>
    </row>
    <row r="15" spans="1:22" ht="14.25">
      <c r="A15" s="212" t="s">
        <v>1328</v>
      </c>
      <c r="B15" s="212">
        <f>HP!B72</f>
        <v>65</v>
      </c>
      <c r="C15" s="450" t="s">
        <v>1327</v>
      </c>
    </row>
    <row r="16" spans="1:22" ht="14.25">
      <c r="A16" s="212" t="s">
        <v>1329</v>
      </c>
      <c r="B16" s="212">
        <f>HP!B71</f>
        <v>10</v>
      </c>
      <c r="C16" s="450" t="s">
        <v>1327</v>
      </c>
      <c r="M16" s="453"/>
      <c r="P16" s="212" t="s">
        <v>2</v>
      </c>
      <c r="U16" s="450" t="s">
        <v>1330</v>
      </c>
      <c r="V16" s="450" t="s">
        <v>1331</v>
      </c>
    </row>
    <row r="17" spans="1:21" ht="25.5">
      <c r="A17" s="455" t="s">
        <v>1332</v>
      </c>
      <c r="B17" s="6">
        <f>(B15-B14)/(B15-B16)</f>
        <v>1.1818181818181819</v>
      </c>
      <c r="E17" s="212" t="s">
        <v>1333</v>
      </c>
    </row>
    <row r="18" spans="1:21">
      <c r="U18" s="455" t="s">
        <v>2</v>
      </c>
    </row>
    <row r="19" spans="1:21">
      <c r="A19" s="212" t="s">
        <v>1334</v>
      </c>
      <c r="B19" s="212">
        <f>IF(HP!B5="No",HP!B69,((HP!B69*HP!B8)/HP!B7))</f>
        <v>2488.6104499012713</v>
      </c>
      <c r="C19" s="212" t="s">
        <v>396</v>
      </c>
    </row>
    <row r="20" spans="1:21">
      <c r="A20" s="212" t="s">
        <v>1335</v>
      </c>
      <c r="B20" s="6" t="e">
        <f>B19/B10</f>
        <v>#DIV/0!</v>
      </c>
      <c r="C20" s="450" t="s">
        <v>160</v>
      </c>
      <c r="M20" s="453"/>
    </row>
    <row r="21" spans="1:21">
      <c r="A21" s="450" t="s">
        <v>1336</v>
      </c>
      <c r="B21" s="6">
        <f>8760*((24-HP!$B$30)/24)</f>
        <v>8760</v>
      </c>
      <c r="C21" s="450" t="s">
        <v>160</v>
      </c>
      <c r="E21" s="212" t="s">
        <v>1337</v>
      </c>
      <c r="M21" s="453"/>
    </row>
    <row r="22" spans="1:21">
      <c r="A22" s="212" t="s">
        <v>1338</v>
      </c>
      <c r="B22" s="6" t="e">
        <f>IF((B20-B21)&lt;0,0,(B20-B21))</f>
        <v>#DIV/0!</v>
      </c>
    </row>
    <row r="23" spans="1:21" ht="25.5">
      <c r="A23" s="455" t="s">
        <v>1339</v>
      </c>
      <c r="B23" s="6" t="e">
        <f>(B22*B10)/B19</f>
        <v>#DIV/0!</v>
      </c>
      <c r="M23" s="453"/>
    </row>
    <row r="25" spans="1:21">
      <c r="A25" s="450" t="s">
        <v>1340</v>
      </c>
      <c r="B25" s="4" t="e">
        <f>(B19*(1-B17-B23))/B12</f>
        <v>#DIV/0!</v>
      </c>
      <c r="C25" s="212" t="s">
        <v>396</v>
      </c>
      <c r="M25" s="453"/>
    </row>
    <row r="26" spans="1:21">
      <c r="A26" s="212" t="s">
        <v>1341</v>
      </c>
      <c r="B26" s="4">
        <f>(B19*B17)/HP!B78</f>
        <v>2941.0850771560481</v>
      </c>
      <c r="C26" s="212" t="s">
        <v>396</v>
      </c>
      <c r="E26" s="212" t="s">
        <v>1342</v>
      </c>
    </row>
    <row r="27" spans="1:21">
      <c r="A27" s="212" t="s">
        <v>1343</v>
      </c>
      <c r="B27" s="4" t="e">
        <f>(B19*B23)/HP!B78</f>
        <v>#DIV/0!</v>
      </c>
      <c r="C27" s="212" t="s">
        <v>396</v>
      </c>
      <c r="E27" s="212" t="s">
        <v>1342</v>
      </c>
    </row>
    <row r="28" spans="1:21">
      <c r="A28" s="212" t="s">
        <v>1344</v>
      </c>
      <c r="B28" s="4" t="e">
        <f>SUM(B25:B27)</f>
        <v>#DIV/0!</v>
      </c>
      <c r="C28" s="212" t="s">
        <v>396</v>
      </c>
    </row>
    <row r="29" spans="1:21">
      <c r="D29" s="212" t="s">
        <v>2</v>
      </c>
    </row>
    <row r="30" spans="1:21">
      <c r="A30" s="450" t="s">
        <v>1345</v>
      </c>
      <c r="B30" s="456" t="e">
        <f>B19/B28</f>
        <v>#DIV/0!</v>
      </c>
      <c r="M30" s="453"/>
    </row>
    <row r="32" spans="1:21">
      <c r="A32" s="212" t="s">
        <v>1301</v>
      </c>
      <c r="B32" s="471" t="e">
        <f>B34-B25</f>
        <v>#DIV/0!</v>
      </c>
      <c r="C32" s="212" t="s">
        <v>396</v>
      </c>
    </row>
    <row r="34" spans="1:14">
      <c r="A34" s="212" t="s">
        <v>1346</v>
      </c>
      <c r="B34" s="454" t="e">
        <f>B19*(1-B17-B23)</f>
        <v>#DIV/0!</v>
      </c>
      <c r="C34" s="212" t="s">
        <v>396</v>
      </c>
    </row>
    <row r="36" spans="1:14">
      <c r="A36" s="450" t="s">
        <v>1305</v>
      </c>
      <c r="B36" s="472" t="e">
        <f>(B10*(1-1/B9)-(Vent!G32*1.2/3600)*(20-7))/(B10*(1-1/B9))</f>
        <v>#DIV/0!</v>
      </c>
    </row>
    <row r="37" spans="1:14">
      <c r="B37" s="459"/>
    </row>
    <row r="38" spans="1:14">
      <c r="A38" s="212" t="s">
        <v>1304</v>
      </c>
      <c r="B38" s="457" t="e">
        <f>B32*B36</f>
        <v>#DIV/0!</v>
      </c>
      <c r="C38" s="212" t="s">
        <v>396</v>
      </c>
    </row>
    <row r="39" spans="1:14">
      <c r="B39" s="459"/>
      <c r="N39" s="453"/>
    </row>
    <row r="40" spans="1:14">
      <c r="D40" s="473"/>
      <c r="L40" s="460"/>
      <c r="N40" s="453"/>
    </row>
    <row r="42" spans="1:14">
      <c r="A42" s="3" t="s">
        <v>1347</v>
      </c>
    </row>
    <row r="43" spans="1:14">
      <c r="A43" s="212" t="s">
        <v>1334</v>
      </c>
      <c r="B43" s="212">
        <f>IF(HP!B5="No",HP!B69,((HP!B69*HP!B6)/HP!B7)*HP!B8)</f>
        <v>2488.6104499012713</v>
      </c>
      <c r="C43" s="212" t="s">
        <v>396</v>
      </c>
    </row>
    <row r="44" spans="1:14">
      <c r="A44" s="212" t="s">
        <v>1348</v>
      </c>
      <c r="B44" s="454">
        <f>HP!B100</f>
        <v>0</v>
      </c>
    </row>
    <row r="45" spans="1:14">
      <c r="A45" s="212" t="s">
        <v>1138</v>
      </c>
      <c r="B45" s="212">
        <f>HP!B102</f>
        <v>0</v>
      </c>
      <c r="C45" s="212" t="s">
        <v>1139</v>
      </c>
    </row>
    <row r="47" spans="1:14">
      <c r="A47" s="212" t="s">
        <v>1326</v>
      </c>
      <c r="B47" s="212">
        <f>HP!B101</f>
        <v>0</v>
      </c>
      <c r="C47" s="212" t="s">
        <v>1318</v>
      </c>
    </row>
    <row r="48" spans="1:14">
      <c r="A48" s="212" t="s">
        <v>1328</v>
      </c>
      <c r="B48" s="212">
        <f>HP!B72</f>
        <v>65</v>
      </c>
      <c r="C48" s="212" t="s">
        <v>1318</v>
      </c>
    </row>
    <row r="49" spans="1:14">
      <c r="A49" s="212" t="s">
        <v>1329</v>
      </c>
      <c r="B49" s="212">
        <f>HP!B71</f>
        <v>10</v>
      </c>
      <c r="C49" s="212" t="s">
        <v>1318</v>
      </c>
    </row>
    <row r="51" spans="1:14">
      <c r="A51" s="212" t="s">
        <v>1349</v>
      </c>
      <c r="B51" s="6">
        <f>IF((B48-B47)&lt;=0,0,(B48-B47)/(B48-B49))</f>
        <v>1.1818181818181819</v>
      </c>
      <c r="E51" s="212" t="s">
        <v>1333</v>
      </c>
      <c r="L51" s="460"/>
    </row>
    <row r="52" spans="1:14">
      <c r="L52" s="461"/>
      <c r="N52" s="453"/>
    </row>
    <row r="53" spans="1:14">
      <c r="A53" s="212" t="s">
        <v>1350</v>
      </c>
      <c r="B53" s="4" t="e">
        <f>(B43*(1-B51))/B44</f>
        <v>#DIV/0!</v>
      </c>
      <c r="C53" s="212" t="s">
        <v>396</v>
      </c>
      <c r="N53" s="453"/>
    </row>
    <row r="54" spans="1:14">
      <c r="A54" s="212" t="s">
        <v>1351</v>
      </c>
      <c r="B54" s="4">
        <f>(B43*B51)/HP!B78</f>
        <v>2941.0850771560481</v>
      </c>
      <c r="C54" s="212" t="s">
        <v>396</v>
      </c>
      <c r="G54" s="212" t="s">
        <v>2</v>
      </c>
      <c r="L54" s="460"/>
    </row>
    <row r="55" spans="1:14">
      <c r="A55" s="212" t="s">
        <v>1344</v>
      </c>
      <c r="B55" s="4" t="e">
        <f>SUM(B53:B54)</f>
        <v>#DIV/0!</v>
      </c>
      <c r="C55" s="212" t="s">
        <v>396</v>
      </c>
    </row>
    <row r="57" spans="1:14">
      <c r="A57" s="450" t="s">
        <v>1345</v>
      </c>
      <c r="B57" s="456" t="e">
        <f>B43/B55</f>
        <v>#DIV/0!</v>
      </c>
    </row>
    <row r="59" spans="1:14">
      <c r="A59" s="212" t="s">
        <v>1301</v>
      </c>
      <c r="B59" s="457" t="e">
        <f>IF(B57&gt;2.5,(B57-2.5)*B55,0)</f>
        <v>#DIV/0!</v>
      </c>
      <c r="C59" s="212" t="s">
        <v>396</v>
      </c>
    </row>
    <row r="61" spans="1:14">
      <c r="A61" s="212" t="s">
        <v>1346</v>
      </c>
      <c r="B61" s="454">
        <f>B43*(1-B51)</f>
        <v>-452.47462725477675</v>
      </c>
      <c r="C61" s="212" t="s">
        <v>396</v>
      </c>
    </row>
    <row r="63" spans="1:14">
      <c r="A63" s="212" t="s">
        <v>1352</v>
      </c>
      <c r="B63" s="458" t="e">
        <f>B61/B53</f>
        <v>#DIV/0!</v>
      </c>
    </row>
    <row r="64" spans="1:14">
      <c r="B64" s="459"/>
    </row>
    <row r="65" spans="1:14">
      <c r="A65" s="212" t="s">
        <v>1304</v>
      </c>
      <c r="B65" s="457" t="e">
        <f>IF(B63&lt;2.5,0,(B63-2.5)*B53)</f>
        <v>#DIV/0!</v>
      </c>
      <c r="C65" s="212" t="s">
        <v>396</v>
      </c>
    </row>
    <row r="66" spans="1:14">
      <c r="B66" s="459"/>
    </row>
    <row r="67" spans="1:14">
      <c r="L67" s="460"/>
      <c r="N67" s="453"/>
    </row>
    <row r="70" spans="1:14">
      <c r="A70" s="3" t="s">
        <v>1353</v>
      </c>
    </row>
    <row r="71" spans="1:14">
      <c r="A71" s="212" t="s">
        <v>1334</v>
      </c>
      <c r="B71" s="212">
        <f>IF(HP!B5="No",HP!B69,((HP!B69*HP!B6)/HP!B7)*HP!B8)</f>
        <v>2488.6104499012713</v>
      </c>
      <c r="C71" s="212" t="s">
        <v>396</v>
      </c>
    </row>
    <row r="72" spans="1:14">
      <c r="A72" s="212" t="s">
        <v>1354</v>
      </c>
      <c r="B72" s="454">
        <f>HP!B93</f>
        <v>3</v>
      </c>
    </row>
    <row r="73" spans="1:14">
      <c r="A73" s="212" t="s">
        <v>173</v>
      </c>
      <c r="B73" s="454">
        <f>IF(AND(HP!B95="No",HP!B96="Yes"),0.7,1)</f>
        <v>1</v>
      </c>
    </row>
    <row r="74" spans="1:14">
      <c r="A74" s="212" t="s">
        <v>2</v>
      </c>
      <c r="B74" s="212" t="s">
        <v>1355</v>
      </c>
      <c r="C74" s="212" t="s">
        <v>2</v>
      </c>
    </row>
    <row r="75" spans="1:14">
      <c r="A75" s="450" t="s">
        <v>1345</v>
      </c>
      <c r="B75" s="456">
        <f>IF(AND(HP!$B$95="No",HP!$B$96="Yes"),'DHW Calc'!B72,(1/(50/(B72*100)+0.5)))</f>
        <v>1.5</v>
      </c>
      <c r="N75" s="453"/>
    </row>
    <row r="76" spans="1:14">
      <c r="A76" s="450"/>
      <c r="B76" s="462"/>
    </row>
    <row r="77" spans="1:14">
      <c r="A77" s="212" t="s">
        <v>1344</v>
      </c>
      <c r="B77" s="462">
        <f>B71/B75</f>
        <v>1659.0736332675142</v>
      </c>
      <c r="C77" s="212" t="s">
        <v>396</v>
      </c>
    </row>
    <row r="79" spans="1:14">
      <c r="A79" s="212" t="s">
        <v>1301</v>
      </c>
      <c r="B79" s="457">
        <f>IF(B75&gt;2.5,(B75-2.5)*B77,0)</f>
        <v>0</v>
      </c>
      <c r="C79" s="212" t="s">
        <v>396</v>
      </c>
    </row>
    <row r="81" spans="1:14">
      <c r="A81" s="212" t="s">
        <v>1346</v>
      </c>
      <c r="B81" s="454">
        <f>IF(B75=B72,B71,B71*0.5)</f>
        <v>1244.3052249506356</v>
      </c>
      <c r="C81" s="212" t="s">
        <v>396</v>
      </c>
    </row>
    <row r="83" spans="1:14">
      <c r="A83" s="212" t="s">
        <v>1350</v>
      </c>
      <c r="B83" s="212">
        <f>B81/B72</f>
        <v>414.76840831687855</v>
      </c>
      <c r="C83" s="212" t="s">
        <v>396</v>
      </c>
    </row>
    <row r="85" spans="1:14">
      <c r="A85" s="212" t="s">
        <v>1304</v>
      </c>
      <c r="B85" s="457">
        <f>IF(B72&lt;2.5,0,(B72-2.5)*B83)</f>
        <v>207.38420415843927</v>
      </c>
      <c r="C85" s="212" t="s">
        <v>396</v>
      </c>
      <c r="N85" s="453"/>
    </row>
    <row r="86" spans="1:14">
      <c r="B86" s="459"/>
    </row>
    <row r="87" spans="1:14">
      <c r="L87" s="460"/>
      <c r="N87" s="453"/>
    </row>
  </sheetData>
  <sheetProtection algorithmName="SHA-512" hashValue="4VZ94fpdXmlNs9BMn3jR5zHQK6O6wFHGjaB1wMWeB4R9jBkn7K7SMHG8ahK0XI9EqmoiWa9Y/2xcpvMCjjwq7w==" saltValue="4i/853t0VnzY0s8V8S/F9Q==" spinCount="100000" sheet="1" objects="1" scenarios="1"/>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C040D-BB99-43DB-8D76-6B3F1A7CEBFD}">
  <sheetPr codeName="Sheet24"/>
  <dimension ref="A1:L52"/>
  <sheetViews>
    <sheetView zoomScale="70" zoomScaleNormal="70" workbookViewId="0">
      <selection activeCell="F6" sqref="F6"/>
    </sheetView>
  </sheetViews>
  <sheetFormatPr defaultColWidth="9.140625" defaultRowHeight="12.75"/>
  <cols>
    <col min="1" max="1" width="9.140625" style="212"/>
    <col min="2" max="2" width="44.7109375" style="212" customWidth="1"/>
    <col min="3" max="3" width="19.140625" style="212" customWidth="1"/>
    <col min="4" max="4" width="18.28515625" style="212" customWidth="1"/>
    <col min="5" max="5" width="18.5703125" style="212" customWidth="1"/>
    <col min="6" max="6" width="31.140625" style="212" customWidth="1"/>
    <col min="7" max="7" width="28.42578125" style="212" customWidth="1"/>
    <col min="8" max="9" width="9.140625" style="212"/>
    <col min="10" max="10" width="12.7109375" style="5" customWidth="1"/>
    <col min="11" max="12" width="9.140625" style="5"/>
    <col min="13" max="16384" width="9.140625" style="212"/>
  </cols>
  <sheetData>
    <row r="1" spans="1:12">
      <c r="B1" s="212">
        <v>16</v>
      </c>
      <c r="C1" s="212" t="s">
        <v>1356</v>
      </c>
      <c r="F1" s="212" t="s">
        <v>2</v>
      </c>
      <c r="G1" s="212" t="s">
        <v>1357</v>
      </c>
      <c r="L1" s="453"/>
    </row>
    <row r="2" spans="1:12">
      <c r="C2" s="212" t="s">
        <v>1358</v>
      </c>
    </row>
    <row r="3" spans="1:12" ht="119.25" customHeight="1">
      <c r="A3" s="463" t="s">
        <v>1185</v>
      </c>
      <c r="B3" s="463" t="s">
        <v>1359</v>
      </c>
      <c r="C3" s="463" t="s">
        <v>1360</v>
      </c>
      <c r="D3" s="212" t="s">
        <v>1361</v>
      </c>
      <c r="E3" s="464" t="s">
        <v>1362</v>
      </c>
      <c r="F3" s="212" t="s">
        <v>1186</v>
      </c>
      <c r="G3" s="212" t="s">
        <v>1187</v>
      </c>
    </row>
    <row r="4" spans="1:12">
      <c r="A4" s="465">
        <v>-12</v>
      </c>
      <c r="B4" s="466">
        <v>0</v>
      </c>
      <c r="C4" s="212">
        <f>SUM(B$4:$B4)</f>
        <v>0</v>
      </c>
      <c r="D4" s="212">
        <f>($B$1-A4)*B4</f>
        <v>0</v>
      </c>
      <c r="E4" s="212">
        <f>SUM($D$4:D4)</f>
        <v>0</v>
      </c>
      <c r="F4" s="467">
        <f t="shared" ref="F4:F31" si="0">D4/$E$31</f>
        <v>0</v>
      </c>
      <c r="G4" s="467">
        <f t="shared" ref="G4:G52" si="1">B4/8760</f>
        <v>0</v>
      </c>
    </row>
    <row r="5" spans="1:12">
      <c r="A5" s="465">
        <f t="shared" ref="A5:A51" si="2">A4+1</f>
        <v>-11</v>
      </c>
      <c r="B5" s="466">
        <v>0</v>
      </c>
      <c r="C5" s="212">
        <f>SUM(B$4:$B5)</f>
        <v>0</v>
      </c>
      <c r="D5" s="212">
        <f t="shared" ref="D5:D32" si="3">($B$1-A5)*B5</f>
        <v>0</v>
      </c>
      <c r="E5" s="212">
        <f>SUM($D$4:D5)</f>
        <v>0</v>
      </c>
      <c r="F5" s="467">
        <f t="shared" si="0"/>
        <v>0</v>
      </c>
      <c r="G5" s="467">
        <f t="shared" si="1"/>
        <v>0</v>
      </c>
    </row>
    <row r="6" spans="1:12">
      <c r="A6" s="465">
        <f t="shared" si="2"/>
        <v>-10</v>
      </c>
      <c r="B6" s="466">
        <v>0</v>
      </c>
      <c r="C6" s="212">
        <f>SUM(B$4:$B6)</f>
        <v>0</v>
      </c>
      <c r="D6" s="212">
        <f t="shared" si="3"/>
        <v>0</v>
      </c>
      <c r="E6" s="212">
        <f>SUM($D$4:D6)</f>
        <v>0</v>
      </c>
      <c r="F6" s="467">
        <f t="shared" si="0"/>
        <v>0</v>
      </c>
      <c r="G6" s="467">
        <f t="shared" si="1"/>
        <v>0</v>
      </c>
      <c r="J6" s="460"/>
      <c r="K6" s="460"/>
      <c r="L6" s="453"/>
    </row>
    <row r="7" spans="1:12">
      <c r="A7" s="465">
        <f t="shared" si="2"/>
        <v>-9</v>
      </c>
      <c r="B7" s="466">
        <v>0</v>
      </c>
      <c r="C7" s="212">
        <f>SUM(B$4:$B7)</f>
        <v>0</v>
      </c>
      <c r="D7" s="212">
        <f t="shared" si="3"/>
        <v>0</v>
      </c>
      <c r="E7" s="212">
        <f>SUM($D$4:D7)</f>
        <v>0</v>
      </c>
      <c r="F7" s="467">
        <f t="shared" si="0"/>
        <v>0</v>
      </c>
      <c r="G7" s="467">
        <f t="shared" si="1"/>
        <v>0</v>
      </c>
    </row>
    <row r="8" spans="1:12">
      <c r="A8" s="465">
        <f t="shared" si="2"/>
        <v>-8</v>
      </c>
      <c r="B8" s="466">
        <v>0</v>
      </c>
      <c r="C8" s="212">
        <f>SUM(B$4:$B8)</f>
        <v>0</v>
      </c>
      <c r="D8" s="212">
        <f t="shared" si="3"/>
        <v>0</v>
      </c>
      <c r="E8" s="212">
        <f>SUM($D$4:D8)</f>
        <v>0</v>
      </c>
      <c r="F8" s="467">
        <f t="shared" si="0"/>
        <v>0</v>
      </c>
      <c r="G8" s="467">
        <f t="shared" si="1"/>
        <v>0</v>
      </c>
    </row>
    <row r="9" spans="1:12">
      <c r="A9" s="465">
        <f t="shared" si="2"/>
        <v>-7</v>
      </c>
      <c r="B9" s="466">
        <v>0</v>
      </c>
      <c r="C9" s="212">
        <f>SUM(B$4:$B9)</f>
        <v>0</v>
      </c>
      <c r="D9" s="212">
        <f t="shared" si="3"/>
        <v>0</v>
      </c>
      <c r="E9" s="212">
        <f>SUM($D$4:D9)</f>
        <v>0</v>
      </c>
      <c r="F9" s="467">
        <f t="shared" si="0"/>
        <v>0</v>
      </c>
      <c r="G9" s="467">
        <f t="shared" si="1"/>
        <v>0</v>
      </c>
    </row>
    <row r="10" spans="1:12">
      <c r="A10" s="465">
        <f t="shared" si="2"/>
        <v>-6</v>
      </c>
      <c r="B10" s="466">
        <v>0</v>
      </c>
      <c r="C10" s="212">
        <f>SUM(B$4:$B10)</f>
        <v>0</v>
      </c>
      <c r="D10" s="212">
        <f t="shared" si="3"/>
        <v>0</v>
      </c>
      <c r="E10" s="212">
        <f>SUM($D$4:D10)</f>
        <v>0</v>
      </c>
      <c r="F10" s="467">
        <f t="shared" si="0"/>
        <v>0</v>
      </c>
      <c r="G10" s="467">
        <f t="shared" si="1"/>
        <v>0</v>
      </c>
    </row>
    <row r="11" spans="1:12">
      <c r="A11" s="465">
        <f t="shared" si="2"/>
        <v>-5</v>
      </c>
      <c r="B11" s="466">
        <v>0</v>
      </c>
      <c r="C11" s="212">
        <f>SUM(B$4:$B11)</f>
        <v>0</v>
      </c>
      <c r="D11" s="212">
        <f t="shared" si="3"/>
        <v>0</v>
      </c>
      <c r="E11" s="212">
        <f>SUM($D$4:D11)</f>
        <v>0</v>
      </c>
      <c r="F11" s="467">
        <f t="shared" si="0"/>
        <v>0</v>
      </c>
      <c r="G11" s="467">
        <f t="shared" si="1"/>
        <v>0</v>
      </c>
    </row>
    <row r="12" spans="1:12">
      <c r="A12" s="465">
        <f t="shared" si="2"/>
        <v>-4</v>
      </c>
      <c r="B12" s="466">
        <v>0</v>
      </c>
      <c r="C12" s="212">
        <f>SUM(B$4:$B12)</f>
        <v>0</v>
      </c>
      <c r="D12" s="212">
        <f t="shared" si="3"/>
        <v>0</v>
      </c>
      <c r="E12" s="212">
        <f>SUM($D$4:D12)</f>
        <v>0</v>
      </c>
      <c r="F12" s="467">
        <f t="shared" si="0"/>
        <v>0</v>
      </c>
      <c r="G12" s="467">
        <f t="shared" si="1"/>
        <v>0</v>
      </c>
    </row>
    <row r="13" spans="1:12">
      <c r="A13" s="465">
        <f t="shared" si="2"/>
        <v>-3</v>
      </c>
      <c r="B13" s="466">
        <v>4</v>
      </c>
      <c r="C13" s="212">
        <f>SUM(B$4:$B13)</f>
        <v>4</v>
      </c>
      <c r="D13" s="212">
        <f>($B$1-A13)*B13</f>
        <v>76</v>
      </c>
      <c r="E13" s="212">
        <f>SUM($D$4:D13)</f>
        <v>76</v>
      </c>
      <c r="F13" s="467">
        <f>D13/$E$31</f>
        <v>1.3629108907339993E-3</v>
      </c>
      <c r="G13" s="467">
        <f t="shared" si="1"/>
        <v>4.5662100456621003E-4</v>
      </c>
    </row>
    <row r="14" spans="1:12">
      <c r="A14" s="465">
        <f t="shared" si="2"/>
        <v>-2</v>
      </c>
      <c r="B14" s="466">
        <v>14</v>
      </c>
      <c r="C14" s="212">
        <f>SUM(B$4:$B14)</f>
        <v>18</v>
      </c>
      <c r="D14" s="212">
        <f>($B$1-A14)*B14</f>
        <v>252</v>
      </c>
      <c r="E14" s="212">
        <f>SUM($D$4:D14)</f>
        <v>328</v>
      </c>
      <c r="F14" s="467">
        <f>D14/$E$31</f>
        <v>4.5191255850653657E-3</v>
      </c>
      <c r="G14" s="467">
        <f t="shared" si="1"/>
        <v>1.5981735159817352E-3</v>
      </c>
    </row>
    <row r="15" spans="1:12">
      <c r="A15" s="465">
        <f t="shared" si="2"/>
        <v>-1</v>
      </c>
      <c r="B15" s="466">
        <v>44</v>
      </c>
      <c r="C15" s="212">
        <f>SUM(B$4:$B15)</f>
        <v>62</v>
      </c>
      <c r="D15" s="212">
        <f t="shared" si="3"/>
        <v>748</v>
      </c>
      <c r="E15" s="212">
        <f>SUM($D$4:D15)</f>
        <v>1076</v>
      </c>
      <c r="F15" s="467">
        <f t="shared" si="0"/>
        <v>1.3413912450908309E-2</v>
      </c>
      <c r="G15" s="467">
        <f t="shared" si="1"/>
        <v>5.0228310502283104E-3</v>
      </c>
    </row>
    <row r="16" spans="1:12">
      <c r="A16" s="465">
        <f t="shared" si="2"/>
        <v>0</v>
      </c>
      <c r="B16" s="466">
        <v>112</v>
      </c>
      <c r="C16" s="212">
        <f>SUM(B$4:$B16)</f>
        <v>174</v>
      </c>
      <c r="D16" s="212">
        <f t="shared" si="3"/>
        <v>1792</v>
      </c>
      <c r="E16" s="212">
        <f>SUM($D$4:D16)</f>
        <v>2868</v>
      </c>
      <c r="F16" s="467">
        <f t="shared" si="0"/>
        <v>3.2136004160464825E-2</v>
      </c>
      <c r="G16" s="467">
        <f t="shared" si="1"/>
        <v>1.2785388127853882E-2</v>
      </c>
    </row>
    <row r="17" spans="1:7">
      <c r="A17" s="465">
        <f t="shared" si="2"/>
        <v>1</v>
      </c>
      <c r="B17" s="466">
        <v>146</v>
      </c>
      <c r="C17" s="212">
        <f>SUM(B$4:$B17)</f>
        <v>320</v>
      </c>
      <c r="D17" s="212">
        <f t="shared" si="3"/>
        <v>2190</v>
      </c>
      <c r="E17" s="212">
        <f>SUM($D$4:D17)</f>
        <v>5058</v>
      </c>
      <c r="F17" s="467">
        <f t="shared" si="0"/>
        <v>3.927335329878235E-2</v>
      </c>
      <c r="G17" s="467">
        <f t="shared" si="1"/>
        <v>1.6666666666666666E-2</v>
      </c>
    </row>
    <row r="18" spans="1:7">
      <c r="A18" s="465">
        <f t="shared" si="2"/>
        <v>2</v>
      </c>
      <c r="B18" s="466">
        <v>222</v>
      </c>
      <c r="C18" s="212">
        <f>SUM(B$4:$B18)</f>
        <v>542</v>
      </c>
      <c r="D18" s="212">
        <f t="shared" si="3"/>
        <v>3108</v>
      </c>
      <c r="E18" s="212">
        <f>SUM($D$4:D18)</f>
        <v>8166</v>
      </c>
      <c r="F18" s="467">
        <f>D18/$E$31</f>
        <v>5.5735882215806179E-2</v>
      </c>
      <c r="G18" s="467">
        <f t="shared" si="1"/>
        <v>2.5342465753424658E-2</v>
      </c>
    </row>
    <row r="19" spans="1:7">
      <c r="A19" s="465">
        <f t="shared" si="2"/>
        <v>3</v>
      </c>
      <c r="B19" s="466">
        <v>323</v>
      </c>
      <c r="C19" s="212">
        <f>SUM(B$4:$B19)</f>
        <v>865</v>
      </c>
      <c r="D19" s="212">
        <f t="shared" si="3"/>
        <v>4199</v>
      </c>
      <c r="E19" s="212">
        <f>SUM($D$4:D19)</f>
        <v>12365</v>
      </c>
      <c r="F19" s="467">
        <f t="shared" si="0"/>
        <v>7.5300826713053465E-2</v>
      </c>
      <c r="G19" s="467">
        <f t="shared" si="1"/>
        <v>3.6872146118721458E-2</v>
      </c>
    </row>
    <row r="20" spans="1:7">
      <c r="A20" s="465">
        <f t="shared" si="2"/>
        <v>4</v>
      </c>
      <c r="B20" s="466">
        <v>400</v>
      </c>
      <c r="C20" s="212">
        <f>SUM(B$4:$B20)</f>
        <v>1265</v>
      </c>
      <c r="D20" s="212">
        <f t="shared" si="3"/>
        <v>4800</v>
      </c>
      <c r="E20" s="212">
        <f>SUM($D$4:D20)</f>
        <v>17165</v>
      </c>
      <c r="F20" s="467">
        <f t="shared" si="0"/>
        <v>8.6078582572673631E-2</v>
      </c>
      <c r="G20" s="467">
        <f t="shared" si="1"/>
        <v>4.5662100456621002E-2</v>
      </c>
    </row>
    <row r="21" spans="1:7">
      <c r="A21" s="465">
        <f t="shared" si="2"/>
        <v>5</v>
      </c>
      <c r="B21" s="466">
        <v>446</v>
      </c>
      <c r="C21" s="212">
        <f>SUM(B$4:$B21)</f>
        <v>1711</v>
      </c>
      <c r="D21" s="212">
        <f t="shared" si="3"/>
        <v>4906</v>
      </c>
      <c r="E21" s="212">
        <f>SUM($D$4:D21)</f>
        <v>22071</v>
      </c>
      <c r="F21" s="467">
        <f t="shared" si="0"/>
        <v>8.7979484604486846E-2</v>
      </c>
      <c r="G21" s="467">
        <f t="shared" si="1"/>
        <v>5.0913242009132421E-2</v>
      </c>
    </row>
    <row r="22" spans="1:7">
      <c r="A22" s="465">
        <f t="shared" si="2"/>
        <v>6</v>
      </c>
      <c r="B22" s="466">
        <v>545</v>
      </c>
      <c r="C22" s="212">
        <f>SUM(B$4:$B22)</f>
        <v>2256</v>
      </c>
      <c r="D22" s="212">
        <f t="shared" si="3"/>
        <v>5450</v>
      </c>
      <c r="E22" s="212">
        <f>SUM($D$4:D22)</f>
        <v>27521</v>
      </c>
      <c r="F22" s="467">
        <f t="shared" si="0"/>
        <v>9.7735057296056527E-2</v>
      </c>
      <c r="G22" s="467">
        <f t="shared" si="1"/>
        <v>6.2214611872146115E-2</v>
      </c>
    </row>
    <row r="23" spans="1:7">
      <c r="A23" s="465">
        <f t="shared" si="2"/>
        <v>7</v>
      </c>
      <c r="B23" s="466">
        <v>603</v>
      </c>
      <c r="C23" s="212">
        <f>SUM(B$4:$B23)</f>
        <v>2859</v>
      </c>
      <c r="D23" s="212">
        <f t="shared" si="3"/>
        <v>5427</v>
      </c>
      <c r="E23" s="212">
        <f>SUM($D$4:D23)</f>
        <v>32948</v>
      </c>
      <c r="F23" s="467">
        <f t="shared" si="0"/>
        <v>9.7322597421229132E-2</v>
      </c>
      <c r="G23" s="467">
        <f t="shared" si="1"/>
        <v>6.8835616438356159E-2</v>
      </c>
    </row>
    <row r="24" spans="1:7">
      <c r="A24" s="465">
        <f t="shared" si="2"/>
        <v>8</v>
      </c>
      <c r="B24" s="466">
        <v>658</v>
      </c>
      <c r="C24" s="212">
        <f>SUM(B$4:$B24)</f>
        <v>3517</v>
      </c>
      <c r="D24" s="212">
        <f t="shared" si="3"/>
        <v>5264</v>
      </c>
      <c r="E24" s="212">
        <f>SUM($D$4:D24)</f>
        <v>38212</v>
      </c>
      <c r="F24" s="467">
        <f t="shared" si="0"/>
        <v>9.4399512221365417E-2</v>
      </c>
      <c r="G24" s="467">
        <f t="shared" si="1"/>
        <v>7.5114155251141554E-2</v>
      </c>
    </row>
    <row r="25" spans="1:7">
      <c r="A25" s="465">
        <f t="shared" si="2"/>
        <v>9</v>
      </c>
      <c r="B25" s="466">
        <v>681</v>
      </c>
      <c r="C25" s="212">
        <f>SUM(B$4:$B25)</f>
        <v>4198</v>
      </c>
      <c r="D25" s="212">
        <f t="shared" si="3"/>
        <v>4767</v>
      </c>
      <c r="E25" s="212">
        <f>SUM($D$4:D25)</f>
        <v>42979</v>
      </c>
      <c r="F25" s="467">
        <f t="shared" si="0"/>
        <v>8.5486792317486501E-2</v>
      </c>
      <c r="G25" s="467">
        <f t="shared" si="1"/>
        <v>7.773972602739726E-2</v>
      </c>
    </row>
    <row r="26" spans="1:7">
      <c r="A26" s="465">
        <f t="shared" si="2"/>
        <v>10</v>
      </c>
      <c r="B26" s="466">
        <v>639</v>
      </c>
      <c r="C26" s="212">
        <f>SUM(B$4:$B26)</f>
        <v>4837</v>
      </c>
      <c r="D26" s="212">
        <f t="shared" si="3"/>
        <v>3834</v>
      </c>
      <c r="E26" s="212">
        <f>SUM($D$4:D26)</f>
        <v>46813</v>
      </c>
      <c r="F26" s="467">
        <f t="shared" si="0"/>
        <v>6.875526782992307E-2</v>
      </c>
      <c r="G26" s="467">
        <f t="shared" si="1"/>
        <v>7.294520547945206E-2</v>
      </c>
    </row>
    <row r="27" spans="1:7">
      <c r="A27" s="465">
        <f t="shared" si="2"/>
        <v>11</v>
      </c>
      <c r="B27" s="466">
        <v>660</v>
      </c>
      <c r="C27" s="212">
        <f>SUM(B$4:$B27)</f>
        <v>5497</v>
      </c>
      <c r="D27" s="212">
        <f t="shared" si="3"/>
        <v>3300</v>
      </c>
      <c r="E27" s="212">
        <f>SUM($D$4:D27)</f>
        <v>50113</v>
      </c>
      <c r="F27" s="467">
        <f t="shared" si="0"/>
        <v>5.9179025518713124E-2</v>
      </c>
      <c r="G27" s="467">
        <f t="shared" si="1"/>
        <v>7.5342465753424653E-2</v>
      </c>
    </row>
    <row r="28" spans="1:7">
      <c r="A28" s="465">
        <f t="shared" si="2"/>
        <v>12</v>
      </c>
      <c r="B28" s="466">
        <v>610</v>
      </c>
      <c r="C28" s="212">
        <f>SUM(B$4:$B28)</f>
        <v>6107</v>
      </c>
      <c r="D28" s="212">
        <f t="shared" si="3"/>
        <v>2440</v>
      </c>
      <c r="E28" s="212">
        <f>SUM($D$4:D28)</f>
        <v>52553</v>
      </c>
      <c r="F28" s="467">
        <f t="shared" si="0"/>
        <v>4.3756612807775763E-2</v>
      </c>
      <c r="G28" s="467">
        <f t="shared" si="1"/>
        <v>6.9634703196347028E-2</v>
      </c>
    </row>
    <row r="29" spans="1:7">
      <c r="A29" s="465">
        <f t="shared" si="2"/>
        <v>13</v>
      </c>
      <c r="B29" s="466">
        <v>582</v>
      </c>
      <c r="C29" s="212">
        <f>SUM(B$4:$B29)</f>
        <v>6689</v>
      </c>
      <c r="D29" s="212">
        <f t="shared" si="3"/>
        <v>1746</v>
      </c>
      <c r="E29" s="212">
        <f>SUM($D$4:D29)</f>
        <v>54299</v>
      </c>
      <c r="F29" s="467">
        <f t="shared" si="0"/>
        <v>3.1311084410810035E-2</v>
      </c>
      <c r="G29" s="467">
        <f t="shared" si="1"/>
        <v>6.6438356164383566E-2</v>
      </c>
    </row>
    <row r="30" spans="1:7">
      <c r="A30" s="465">
        <f t="shared" si="2"/>
        <v>14</v>
      </c>
      <c r="B30" s="466">
        <v>481</v>
      </c>
      <c r="C30" s="212">
        <f>SUM(B$4:$B30)</f>
        <v>7170</v>
      </c>
      <c r="D30" s="212">
        <f t="shared" si="3"/>
        <v>962</v>
      </c>
      <c r="E30" s="212">
        <f>SUM($D$4:D30)</f>
        <v>55261</v>
      </c>
      <c r="F30" s="467">
        <f t="shared" si="0"/>
        <v>1.7251582590606676E-2</v>
      </c>
      <c r="G30" s="467">
        <f t="shared" si="1"/>
        <v>5.4908675799086759E-2</v>
      </c>
    </row>
    <row r="31" spans="1:7">
      <c r="A31" s="465">
        <f t="shared" si="2"/>
        <v>15</v>
      </c>
      <c r="B31" s="466">
        <v>502</v>
      </c>
      <c r="C31" s="212">
        <f>SUM(B$4:$B31)</f>
        <v>7672</v>
      </c>
      <c r="D31" s="212">
        <f t="shared" si="3"/>
        <v>502</v>
      </c>
      <c r="E31" s="212">
        <f>SUM($D$4:D31)</f>
        <v>55763</v>
      </c>
      <c r="F31" s="467">
        <f t="shared" si="0"/>
        <v>9.002385094058785E-3</v>
      </c>
      <c r="G31" s="467">
        <f t="shared" si="1"/>
        <v>5.7305936073059359E-2</v>
      </c>
    </row>
    <row r="32" spans="1:7">
      <c r="A32" s="465">
        <f t="shared" si="2"/>
        <v>16</v>
      </c>
      <c r="B32" s="466">
        <v>383</v>
      </c>
      <c r="C32" s="212">
        <f>SUM(B$4:$B32)</f>
        <v>8055</v>
      </c>
      <c r="D32" s="212">
        <f t="shared" si="3"/>
        <v>0</v>
      </c>
      <c r="G32" s="467">
        <f t="shared" si="1"/>
        <v>4.3721461187214615E-2</v>
      </c>
    </row>
    <row r="33" spans="1:7">
      <c r="A33" s="465">
        <f t="shared" si="2"/>
        <v>17</v>
      </c>
      <c r="B33" s="466">
        <v>259</v>
      </c>
      <c r="C33" s="212">
        <f>SUM(B$4:$B33)</f>
        <v>8314</v>
      </c>
      <c r="G33" s="467">
        <f t="shared" si="1"/>
        <v>2.9566210045662102E-2</v>
      </c>
    </row>
    <row r="34" spans="1:7">
      <c r="A34" s="465">
        <f t="shared" si="2"/>
        <v>18</v>
      </c>
      <c r="B34" s="466">
        <v>170</v>
      </c>
      <c r="C34" s="212">
        <f>SUM(B$4:$B34)</f>
        <v>8484</v>
      </c>
      <c r="G34" s="467">
        <f t="shared" si="1"/>
        <v>1.9406392694063926E-2</v>
      </c>
    </row>
    <row r="35" spans="1:7">
      <c r="A35" s="465">
        <f t="shared" si="2"/>
        <v>19</v>
      </c>
      <c r="B35" s="466">
        <v>112</v>
      </c>
      <c r="C35" s="212">
        <f>SUM(B$4:$B35)</f>
        <v>8596</v>
      </c>
      <c r="G35" s="467">
        <f t="shared" si="1"/>
        <v>1.2785388127853882E-2</v>
      </c>
    </row>
    <row r="36" spans="1:7">
      <c r="A36" s="465">
        <f t="shared" si="2"/>
        <v>20</v>
      </c>
      <c r="B36" s="466">
        <v>67</v>
      </c>
      <c r="C36" s="212">
        <f>SUM(B$4:$B36)</f>
        <v>8663</v>
      </c>
      <c r="G36" s="467">
        <f t="shared" si="1"/>
        <v>7.6484018264840184E-3</v>
      </c>
    </row>
    <row r="37" spans="1:7">
      <c r="A37" s="465">
        <f t="shared" si="2"/>
        <v>21</v>
      </c>
      <c r="B37" s="466">
        <v>37</v>
      </c>
      <c r="C37" s="212">
        <f>SUM(B$4:$B37)</f>
        <v>8700</v>
      </c>
      <c r="G37" s="467">
        <f t="shared" si="1"/>
        <v>4.2237442922374432E-3</v>
      </c>
    </row>
    <row r="38" spans="1:7">
      <c r="A38" s="465">
        <f t="shared" si="2"/>
        <v>22</v>
      </c>
      <c r="B38" s="466">
        <v>27</v>
      </c>
      <c r="C38" s="212">
        <f>SUM(B$4:$B38)</f>
        <v>8727</v>
      </c>
      <c r="G38" s="467">
        <f t="shared" si="1"/>
        <v>3.0821917808219177E-3</v>
      </c>
    </row>
    <row r="39" spans="1:7">
      <c r="A39" s="465">
        <f t="shared" si="2"/>
        <v>23</v>
      </c>
      <c r="B39" s="466">
        <v>20</v>
      </c>
      <c r="C39" s="212">
        <f>SUM(B$4:$B39)</f>
        <v>8747</v>
      </c>
      <c r="G39" s="467">
        <f t="shared" si="1"/>
        <v>2.2831050228310501E-3</v>
      </c>
    </row>
    <row r="40" spans="1:7">
      <c r="A40" s="465">
        <f t="shared" si="2"/>
        <v>24</v>
      </c>
      <c r="B40" s="466">
        <v>13</v>
      </c>
      <c r="C40" s="212">
        <f>SUM(B$4:$B40)</f>
        <v>8760</v>
      </c>
      <c r="G40" s="467">
        <f t="shared" si="1"/>
        <v>1.4840182648401827E-3</v>
      </c>
    </row>
    <row r="41" spans="1:7">
      <c r="A41" s="465">
        <f t="shared" si="2"/>
        <v>25</v>
      </c>
      <c r="B41" s="466">
        <v>0</v>
      </c>
      <c r="C41" s="212">
        <f>SUM(B$4:$B41)</f>
        <v>8760</v>
      </c>
      <c r="G41" s="467">
        <f t="shared" si="1"/>
        <v>0</v>
      </c>
    </row>
    <row r="42" spans="1:7">
      <c r="A42" s="465">
        <f t="shared" si="2"/>
        <v>26</v>
      </c>
      <c r="B42" s="466">
        <v>0</v>
      </c>
      <c r="C42" s="212">
        <f>SUM(B$4:$B42)</f>
        <v>8760</v>
      </c>
      <c r="G42" s="467">
        <f t="shared" si="1"/>
        <v>0</v>
      </c>
    </row>
    <row r="43" spans="1:7">
      <c r="A43" s="465">
        <f t="shared" si="2"/>
        <v>27</v>
      </c>
      <c r="B43" s="466">
        <v>0</v>
      </c>
      <c r="C43" s="212">
        <f>SUM(B$4:$B43)</f>
        <v>8760</v>
      </c>
      <c r="G43" s="467">
        <f t="shared" si="1"/>
        <v>0</v>
      </c>
    </row>
    <row r="44" spans="1:7">
      <c r="A44" s="465">
        <f t="shared" si="2"/>
        <v>28</v>
      </c>
      <c r="B44" s="466">
        <v>0</v>
      </c>
      <c r="C44" s="212">
        <f>SUM(B$4:$B44)</f>
        <v>8760</v>
      </c>
      <c r="G44" s="467">
        <f t="shared" si="1"/>
        <v>0</v>
      </c>
    </row>
    <row r="45" spans="1:7">
      <c r="A45" s="465">
        <f t="shared" si="2"/>
        <v>29</v>
      </c>
      <c r="B45" s="466">
        <v>0</v>
      </c>
      <c r="C45" s="212">
        <f>SUM(B$4:$B45)</f>
        <v>8760</v>
      </c>
      <c r="G45" s="467">
        <f t="shared" si="1"/>
        <v>0</v>
      </c>
    </row>
    <row r="46" spans="1:7">
      <c r="A46" s="465">
        <f t="shared" si="2"/>
        <v>30</v>
      </c>
      <c r="B46" s="466">
        <v>0</v>
      </c>
      <c r="C46" s="212">
        <f>SUM(B$4:$B46)</f>
        <v>8760</v>
      </c>
      <c r="G46" s="467">
        <f t="shared" si="1"/>
        <v>0</v>
      </c>
    </row>
    <row r="47" spans="1:7">
      <c r="A47" s="465">
        <f t="shared" si="2"/>
        <v>31</v>
      </c>
      <c r="B47" s="466">
        <v>0</v>
      </c>
      <c r="C47" s="212">
        <f>SUM(B$4:$B47)</f>
        <v>8760</v>
      </c>
      <c r="G47" s="467">
        <f t="shared" si="1"/>
        <v>0</v>
      </c>
    </row>
    <row r="48" spans="1:7">
      <c r="A48" s="465">
        <f t="shared" si="2"/>
        <v>32</v>
      </c>
      <c r="B48" s="466">
        <v>0</v>
      </c>
      <c r="C48" s="212">
        <f>SUM(B$4:$B48)</f>
        <v>8760</v>
      </c>
      <c r="G48" s="467">
        <f t="shared" si="1"/>
        <v>0</v>
      </c>
    </row>
    <row r="49" spans="1:7">
      <c r="A49" s="465">
        <f t="shared" si="2"/>
        <v>33</v>
      </c>
      <c r="B49" s="466">
        <v>0</v>
      </c>
      <c r="C49" s="212">
        <f>SUM(B$4:$B49)</f>
        <v>8760</v>
      </c>
      <c r="G49" s="467">
        <f t="shared" si="1"/>
        <v>0</v>
      </c>
    </row>
    <row r="50" spans="1:7">
      <c r="A50" s="465">
        <f t="shared" si="2"/>
        <v>34</v>
      </c>
      <c r="B50" s="466">
        <v>0</v>
      </c>
      <c r="C50" s="212">
        <f>SUM(B$4:$B50)</f>
        <v>8760</v>
      </c>
      <c r="G50" s="467">
        <f t="shared" si="1"/>
        <v>0</v>
      </c>
    </row>
    <row r="51" spans="1:7">
      <c r="A51" s="465">
        <f t="shared" si="2"/>
        <v>35</v>
      </c>
      <c r="B51" s="466">
        <v>0</v>
      </c>
      <c r="C51" s="212">
        <f>SUM(B$4:$B51)</f>
        <v>8760</v>
      </c>
      <c r="G51" s="467">
        <f t="shared" si="1"/>
        <v>0</v>
      </c>
    </row>
    <row r="52" spans="1:7">
      <c r="G52" s="467">
        <f t="shared" si="1"/>
        <v>0</v>
      </c>
    </row>
  </sheetData>
  <sheetProtection algorithmName="SHA-512" hashValue="pxWtyiFnHhjrqsmwkewRM/e8C7bZW8gK7LggNwh5K0Pm/QcKXUXTmvMaT7BVu28xZXbaUlmxARs6tu6AjSmrAw==" saltValue="vPbv2BlL99KFCIieeNEL0w==" spinCount="100000" sheet="1" objects="1" scenarios="1"/>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8518E-08A1-4F8D-B173-6159CAD85419}">
  <dimension ref="A1:N342"/>
  <sheetViews>
    <sheetView workbookViewId="0">
      <selection activeCell="C14" sqref="C14"/>
    </sheetView>
  </sheetViews>
  <sheetFormatPr defaultRowHeight="12.75"/>
  <sheetData>
    <row r="1" spans="1:14" ht="18">
      <c r="A1" s="815" t="s">
        <v>1469</v>
      </c>
      <c r="B1" s="814"/>
      <c r="C1" s="814"/>
      <c r="D1" s="814"/>
      <c r="E1" s="814"/>
      <c r="F1" s="814"/>
      <c r="G1" s="814"/>
      <c r="H1" s="814"/>
      <c r="I1" s="814"/>
      <c r="J1" s="814"/>
      <c r="K1" s="814"/>
      <c r="L1" s="814"/>
      <c r="M1" s="814"/>
      <c r="N1" s="760"/>
    </row>
    <row r="2" spans="1:14">
      <c r="A2" s="760" t="s">
        <v>1468</v>
      </c>
      <c r="B2" s="760"/>
      <c r="C2" s="760" t="str">
        <f>Cov!F9 &amp; Cov!F10</f>
        <v>Aligned to DEAP software version 3.2 plus inclusion of Part L 2019 requirements, incorporating NZEB</v>
      </c>
      <c r="D2" s="760"/>
      <c r="E2" s="760"/>
      <c r="F2" s="760"/>
      <c r="G2" s="760"/>
      <c r="H2" s="760"/>
      <c r="I2" s="760"/>
      <c r="J2" s="760"/>
      <c r="K2" s="760"/>
      <c r="L2" s="760"/>
      <c r="M2" s="760"/>
      <c r="N2" s="760"/>
    </row>
    <row r="3" spans="1:14">
      <c r="A3" s="760" t="s">
        <v>1467</v>
      </c>
      <c r="B3" s="760"/>
      <c r="C3" s="760"/>
      <c r="D3" s="760"/>
      <c r="E3" s="760"/>
      <c r="F3" s="760"/>
      <c r="G3" s="760"/>
      <c r="H3" s="760"/>
      <c r="I3" s="760"/>
      <c r="J3" s="760"/>
      <c r="K3" s="760"/>
      <c r="L3" s="760"/>
      <c r="M3" s="760"/>
      <c r="N3" s="760"/>
    </row>
    <row r="4" spans="1:14">
      <c r="A4" s="760" t="s">
        <v>1466</v>
      </c>
      <c r="B4" s="760"/>
      <c r="C4" s="760"/>
      <c r="D4" s="760"/>
      <c r="E4" s="760"/>
      <c r="F4" s="760"/>
      <c r="G4" s="760"/>
      <c r="H4" s="760"/>
      <c r="I4" s="760"/>
      <c r="J4" s="760"/>
      <c r="K4" s="760"/>
      <c r="L4" s="760"/>
      <c r="M4" s="760"/>
      <c r="N4" s="760"/>
    </row>
    <row r="5" spans="1:14">
      <c r="A5" s="760" t="s">
        <v>1465</v>
      </c>
      <c r="B5" s="760"/>
      <c r="C5" s="760"/>
      <c r="D5" s="760"/>
      <c r="E5" s="760"/>
      <c r="F5" s="760"/>
      <c r="G5" s="760"/>
      <c r="H5" s="760"/>
      <c r="I5" s="760"/>
      <c r="J5" s="760"/>
      <c r="K5" s="760"/>
      <c r="L5" s="760"/>
      <c r="M5" s="760"/>
      <c r="N5" s="760"/>
    </row>
    <row r="6" spans="1:14">
      <c r="A6" s="760"/>
      <c r="B6" s="760"/>
      <c r="C6" s="760"/>
      <c r="D6" s="760"/>
      <c r="E6" s="760"/>
      <c r="F6" s="760"/>
      <c r="G6" s="760"/>
      <c r="H6" s="760"/>
      <c r="I6" s="760"/>
      <c r="J6" s="760"/>
      <c r="K6" s="760"/>
      <c r="L6" s="760"/>
      <c r="M6" s="760"/>
      <c r="N6" s="760"/>
    </row>
    <row r="7" spans="1:14">
      <c r="A7" s="764" t="s">
        <v>1464</v>
      </c>
      <c r="B7" s="760"/>
      <c r="C7" s="760"/>
      <c r="D7" s="760"/>
      <c r="E7" s="760"/>
      <c r="F7" s="764" t="s">
        <v>1463</v>
      </c>
      <c r="G7" s="760"/>
      <c r="H7" s="760">
        <f>TGDL</f>
        <v>2019</v>
      </c>
      <c r="I7" s="760"/>
      <c r="J7" s="760"/>
      <c r="K7" s="760"/>
      <c r="L7" s="760"/>
      <c r="M7" s="760"/>
      <c r="N7" s="760"/>
    </row>
    <row r="8" spans="1:14" ht="14.25">
      <c r="A8" s="216"/>
      <c r="B8" s="216"/>
      <c r="C8" s="816" t="s">
        <v>209</v>
      </c>
      <c r="D8" s="816" t="s">
        <v>1462</v>
      </c>
      <c r="E8" s="760"/>
      <c r="F8" s="760"/>
      <c r="G8" s="760"/>
      <c r="H8" s="760"/>
      <c r="I8" s="760"/>
      <c r="J8" s="760"/>
      <c r="K8" s="760"/>
      <c r="L8" s="760"/>
      <c r="M8" s="760"/>
      <c r="N8" s="760"/>
    </row>
    <row r="9" spans="1:14">
      <c r="A9" s="216" t="s">
        <v>1461</v>
      </c>
      <c r="B9" s="216"/>
      <c r="C9" s="219">
        <f>Dim!D5</f>
        <v>63</v>
      </c>
      <c r="D9" s="529">
        <f>Dim!E5</f>
        <v>2.4</v>
      </c>
      <c r="E9" s="760"/>
      <c r="F9" s="760"/>
      <c r="G9" s="760"/>
      <c r="H9" s="760"/>
      <c r="I9" s="760"/>
      <c r="J9" s="760"/>
      <c r="K9" s="760"/>
      <c r="L9" s="760"/>
      <c r="M9" s="760"/>
      <c r="N9" s="760"/>
    </row>
    <row r="10" spans="1:14">
      <c r="A10" s="216" t="s">
        <v>115</v>
      </c>
      <c r="B10" s="216"/>
      <c r="C10" s="219">
        <f>Dim!D6</f>
        <v>63</v>
      </c>
      <c r="D10" s="529">
        <f>Dim!E6</f>
        <v>2.7</v>
      </c>
      <c r="E10" s="760"/>
      <c r="F10" s="760"/>
      <c r="G10" s="760"/>
      <c r="H10" s="760"/>
      <c r="I10" s="760"/>
      <c r="J10" s="760"/>
      <c r="K10" s="760"/>
      <c r="L10" s="760"/>
      <c r="M10" s="760"/>
      <c r="N10" s="760"/>
    </row>
    <row r="11" spans="1:14">
      <c r="A11" s="216" t="s">
        <v>116</v>
      </c>
      <c r="B11" s="216"/>
      <c r="C11" s="219">
        <f>Dim!D7</f>
        <v>0</v>
      </c>
      <c r="D11" s="529">
        <f>Dim!E7</f>
        <v>0</v>
      </c>
      <c r="E11" s="760"/>
      <c r="F11" s="760"/>
      <c r="G11" s="760"/>
      <c r="H11" s="760"/>
      <c r="I11" s="760"/>
      <c r="J11" s="760"/>
      <c r="K11" s="760"/>
      <c r="L11" s="760"/>
      <c r="M11" s="760"/>
      <c r="N11" s="760"/>
    </row>
    <row r="12" spans="1:14">
      <c r="A12" s="216" t="s">
        <v>117</v>
      </c>
      <c r="B12" s="216"/>
      <c r="C12" s="219">
        <f>Dim!D8</f>
        <v>0</v>
      </c>
      <c r="D12" s="529">
        <f>Dim!E8</f>
        <v>0</v>
      </c>
      <c r="E12" s="760"/>
      <c r="F12" s="760"/>
      <c r="G12" s="760"/>
      <c r="H12" s="760"/>
      <c r="I12" s="760"/>
      <c r="J12" s="760"/>
      <c r="K12" s="760"/>
      <c r="L12" s="760"/>
      <c r="M12" s="760"/>
      <c r="N12" s="760"/>
    </row>
    <row r="13" spans="1:14" ht="14.25">
      <c r="A13" s="59" t="s">
        <v>1460</v>
      </c>
      <c r="B13" s="760"/>
      <c r="C13" s="794">
        <f>tfa</f>
        <v>126</v>
      </c>
      <c r="D13" s="766"/>
      <c r="E13" s="760"/>
      <c r="F13" s="760"/>
      <c r="G13" s="760"/>
      <c r="H13" s="760"/>
      <c r="I13" s="760"/>
      <c r="J13" s="760"/>
      <c r="K13" s="760"/>
      <c r="L13" s="760"/>
      <c r="M13" s="760"/>
      <c r="N13" s="760"/>
    </row>
    <row r="14" spans="1:14" ht="14.25">
      <c r="A14" s="59" t="s">
        <v>1459</v>
      </c>
      <c r="B14" s="760"/>
      <c r="C14" s="794">
        <f>volume</f>
        <v>321.3</v>
      </c>
      <c r="D14" s="766"/>
      <c r="E14" s="760"/>
      <c r="F14" s="760"/>
      <c r="G14" s="760"/>
      <c r="H14" s="760"/>
      <c r="I14" s="760"/>
      <c r="J14" s="760"/>
      <c r="K14" s="760"/>
      <c r="L14" s="760"/>
      <c r="M14" s="760"/>
      <c r="N14" s="760"/>
    </row>
    <row r="15" spans="1:14" ht="14.25">
      <c r="A15" s="216" t="s">
        <v>1458</v>
      </c>
      <c r="B15" s="760"/>
      <c r="C15" s="807">
        <f>Dim!D13</f>
        <v>31.5</v>
      </c>
      <c r="D15" s="766"/>
      <c r="E15" s="760"/>
      <c r="F15" s="760"/>
      <c r="G15" s="760"/>
      <c r="H15" s="760"/>
      <c r="I15" s="760"/>
      <c r="J15" s="760"/>
      <c r="K15" s="760"/>
      <c r="L15" s="760"/>
      <c r="M15" s="760"/>
      <c r="N15" s="760"/>
    </row>
    <row r="16" spans="1:14">
      <c r="A16" s="216"/>
      <c r="B16" s="760"/>
      <c r="C16" s="796"/>
      <c r="D16" s="760"/>
      <c r="E16" s="760"/>
      <c r="F16" s="760"/>
      <c r="G16" s="760"/>
      <c r="H16" s="760"/>
      <c r="I16" s="760"/>
      <c r="J16" s="760"/>
      <c r="K16" s="760"/>
      <c r="L16" s="760"/>
      <c r="M16" s="760"/>
      <c r="N16" s="760"/>
    </row>
    <row r="17" spans="1:14">
      <c r="A17" s="28" t="s">
        <v>309</v>
      </c>
      <c r="B17" s="760"/>
      <c r="C17" s="760"/>
      <c r="D17" s="760"/>
      <c r="E17" s="760"/>
      <c r="F17" s="760"/>
      <c r="G17" s="760"/>
      <c r="H17" s="760"/>
      <c r="I17" s="760"/>
      <c r="J17" s="760"/>
      <c r="K17" s="760"/>
      <c r="L17" s="760"/>
      <c r="M17" s="760"/>
      <c r="N17" s="760"/>
    </row>
    <row r="18" spans="1:14">
      <c r="A18" s="760" t="s">
        <v>126</v>
      </c>
      <c r="B18" s="760"/>
      <c r="C18" s="760"/>
      <c r="D18" s="760"/>
      <c r="E18" s="760"/>
      <c r="F18" s="766">
        <f>Vent!F4</f>
        <v>0</v>
      </c>
      <c r="G18" s="766"/>
      <c r="H18" s="760"/>
      <c r="I18" s="760"/>
      <c r="J18" s="760"/>
      <c r="K18" s="760"/>
      <c r="L18" s="760"/>
      <c r="M18" s="760"/>
      <c r="N18" s="760"/>
    </row>
    <row r="19" spans="1:14">
      <c r="A19" s="760" t="s">
        <v>127</v>
      </c>
      <c r="B19" s="760"/>
      <c r="C19" s="760"/>
      <c r="D19" s="760"/>
      <c r="E19" s="760"/>
      <c r="F19" s="766">
        <f>Vent!F5</f>
        <v>0</v>
      </c>
      <c r="G19" s="766"/>
      <c r="H19" s="760"/>
      <c r="I19" s="760"/>
      <c r="J19" s="760"/>
      <c r="K19" s="760"/>
      <c r="L19" s="760"/>
      <c r="M19" s="760"/>
      <c r="N19" s="760"/>
    </row>
    <row r="20" spans="1:14">
      <c r="A20" s="760" t="s">
        <v>128</v>
      </c>
      <c r="B20" s="760"/>
      <c r="C20" s="760"/>
      <c r="D20" s="760"/>
      <c r="E20" s="760"/>
      <c r="F20" s="766">
        <f>Vent!F6</f>
        <v>3</v>
      </c>
      <c r="G20" s="766"/>
      <c r="H20" s="760"/>
      <c r="I20" s="760"/>
      <c r="J20" s="760"/>
      <c r="K20" s="760"/>
      <c r="L20" s="760"/>
      <c r="M20" s="760"/>
      <c r="N20" s="760"/>
    </row>
    <row r="21" spans="1:14">
      <c r="A21" s="760" t="s">
        <v>1457</v>
      </c>
      <c r="B21" s="760"/>
      <c r="C21" s="760"/>
      <c r="D21" s="760"/>
      <c r="E21" s="760"/>
      <c r="F21" s="766">
        <f>Vent!F7</f>
        <v>0</v>
      </c>
      <c r="G21" s="766"/>
      <c r="H21" s="760"/>
      <c r="I21" s="760"/>
      <c r="J21" s="760"/>
      <c r="K21" s="760"/>
      <c r="L21" s="760"/>
      <c r="M21" s="760"/>
      <c r="N21" s="760"/>
    </row>
    <row r="22" spans="1:14">
      <c r="A22" s="220" t="s">
        <v>131</v>
      </c>
      <c r="B22" s="760"/>
      <c r="C22" s="760"/>
      <c r="D22" s="760"/>
      <c r="E22" s="760"/>
      <c r="F22" s="766" t="str">
        <f>Vent!E9</f>
        <v>No</v>
      </c>
      <c r="G22" s="766"/>
      <c r="H22" s="760"/>
      <c r="I22" s="760"/>
      <c r="J22" s="760"/>
      <c r="K22" s="760"/>
      <c r="L22" s="760"/>
      <c r="M22" s="760"/>
      <c r="N22" s="760"/>
    </row>
    <row r="23" spans="1:14">
      <c r="A23" s="760" t="s">
        <v>134</v>
      </c>
      <c r="B23" s="760"/>
      <c r="C23" s="760"/>
      <c r="D23" s="760"/>
      <c r="E23" s="760"/>
      <c r="F23" s="766">
        <f>Vent!G13</f>
        <v>2</v>
      </c>
      <c r="G23" s="766"/>
      <c r="H23" s="760"/>
      <c r="I23" s="760"/>
      <c r="J23" s="760"/>
      <c r="K23" s="760"/>
      <c r="L23" s="760"/>
      <c r="M23" s="760"/>
      <c r="N23" s="760"/>
    </row>
    <row r="24" spans="1:14">
      <c r="A24" s="216" t="s">
        <v>135</v>
      </c>
      <c r="B24" s="760"/>
      <c r="C24" s="760"/>
      <c r="D24" s="760"/>
      <c r="E24" s="760"/>
      <c r="F24" s="766" t="str">
        <f>Vent!F14</f>
        <v>Yes</v>
      </c>
      <c r="G24" s="766">
        <f>Vent!G14</f>
        <v>1</v>
      </c>
      <c r="H24" s="760"/>
      <c r="I24" s="760"/>
      <c r="J24" s="760"/>
      <c r="K24" s="760"/>
      <c r="L24" s="760"/>
      <c r="M24" s="760"/>
      <c r="N24" s="760"/>
    </row>
    <row r="25" spans="1:14">
      <c r="A25" s="795" t="s">
        <v>1446</v>
      </c>
      <c r="B25" s="760" t="str">
        <f>IF(G24,"Not applicable",":")</f>
        <v>Not applicable</v>
      </c>
      <c r="C25" s="760"/>
      <c r="D25" s="760"/>
      <c r="E25" s="760"/>
      <c r="F25" s="766"/>
      <c r="G25" s="766"/>
      <c r="H25" s="760"/>
      <c r="I25" s="760"/>
      <c r="J25" s="760"/>
      <c r="K25" s="760"/>
      <c r="L25" s="760"/>
      <c r="M25" s="760"/>
      <c r="N25" s="760"/>
    </row>
    <row r="26" spans="1:14">
      <c r="A26" s="760"/>
      <c r="B26" s="763" t="s">
        <v>137</v>
      </c>
      <c r="C26" s="788"/>
      <c r="D26" s="788"/>
      <c r="E26" s="788"/>
      <c r="F26" s="788"/>
      <c r="G26" s="787" t="str">
        <f>Vent!F16</f>
        <v>Masonry</v>
      </c>
      <c r="H26" s="760"/>
      <c r="I26" s="760"/>
      <c r="J26" s="760"/>
      <c r="K26" s="760"/>
      <c r="L26" s="760"/>
      <c r="M26" s="760"/>
      <c r="N26" s="760"/>
    </row>
    <row r="27" spans="1:14">
      <c r="A27" s="760"/>
      <c r="B27" s="784" t="s">
        <v>139</v>
      </c>
      <c r="C27" s="780"/>
      <c r="D27" s="780"/>
      <c r="E27" s="780"/>
      <c r="F27" s="780"/>
      <c r="G27" s="779" t="str">
        <f>Vent!F17</f>
        <v>None</v>
      </c>
      <c r="H27" s="760"/>
      <c r="I27" s="760"/>
      <c r="J27" s="760"/>
      <c r="K27" s="760"/>
      <c r="L27" s="760"/>
      <c r="M27" s="760"/>
      <c r="N27" s="760"/>
    </row>
    <row r="28" spans="1:14">
      <c r="A28" s="760"/>
      <c r="B28" s="798" t="s">
        <v>140</v>
      </c>
      <c r="C28" s="778"/>
      <c r="D28" s="778"/>
      <c r="E28" s="778"/>
      <c r="F28" s="778"/>
      <c r="G28" s="797">
        <f>Vent!G18</f>
        <v>100</v>
      </c>
      <c r="H28" s="760"/>
      <c r="I28" s="760"/>
      <c r="J28" s="760"/>
      <c r="K28" s="760"/>
      <c r="L28" s="760"/>
      <c r="M28" s="760"/>
      <c r="N28" s="760"/>
    </row>
    <row r="29" spans="1:14">
      <c r="A29" s="795" t="s">
        <v>164</v>
      </c>
      <c r="B29" s="760" t="str">
        <f>IF(G24=0,"Not applicable",":")</f>
        <v>:</v>
      </c>
      <c r="C29" s="760"/>
      <c r="D29" s="760"/>
      <c r="E29" s="760"/>
      <c r="F29" s="760"/>
      <c r="G29" s="760"/>
      <c r="H29" s="760"/>
      <c r="I29" s="760"/>
      <c r="J29" s="760"/>
      <c r="K29" s="760"/>
      <c r="L29" s="760"/>
      <c r="M29" s="760"/>
      <c r="N29" s="760"/>
    </row>
    <row r="30" spans="1:14">
      <c r="A30" s="760"/>
      <c r="B30" s="813" t="s">
        <v>1456</v>
      </c>
      <c r="C30" s="812"/>
      <c r="D30" s="812"/>
      <c r="E30" s="812"/>
      <c r="F30" s="812"/>
      <c r="G30" s="811">
        <f>Vent!H22</f>
        <v>5</v>
      </c>
      <c r="H30" s="760"/>
      <c r="I30" s="760"/>
      <c r="J30" s="760"/>
      <c r="K30" s="760"/>
      <c r="L30" s="760"/>
      <c r="M30" s="760"/>
      <c r="N30" s="760"/>
    </row>
    <row r="31" spans="1:14">
      <c r="A31" s="795" t="s">
        <v>172</v>
      </c>
      <c r="B31" s="760"/>
      <c r="C31" s="760"/>
      <c r="D31" s="760"/>
      <c r="E31" s="760"/>
      <c r="F31" s="760"/>
      <c r="G31" s="760"/>
      <c r="H31" s="760"/>
      <c r="I31" s="760"/>
      <c r="J31" s="760"/>
      <c r="K31" s="760"/>
      <c r="L31" s="760"/>
      <c r="M31" s="760"/>
      <c r="N31" s="760"/>
    </row>
    <row r="32" spans="1:14">
      <c r="A32" s="760" t="s">
        <v>148</v>
      </c>
      <c r="B32" s="760"/>
      <c r="C32" s="760"/>
      <c r="D32" s="760"/>
      <c r="E32" s="760"/>
      <c r="F32" s="766">
        <f>Vent!G28</f>
        <v>2</v>
      </c>
      <c r="G32" s="760"/>
      <c r="H32" s="760"/>
      <c r="I32" s="760"/>
      <c r="J32" s="760"/>
      <c r="K32" s="760"/>
      <c r="L32" s="760"/>
      <c r="M32" s="760"/>
      <c r="N32" s="760"/>
    </row>
    <row r="33" spans="1:14">
      <c r="A33" s="760" t="s">
        <v>151</v>
      </c>
      <c r="B33" s="760"/>
      <c r="C33" s="760"/>
      <c r="D33" s="760"/>
      <c r="E33" s="760"/>
      <c r="F33" s="810" t="str">
        <f>Vent!D31</f>
        <v>Natural ventilation</v>
      </c>
      <c r="G33" s="760"/>
      <c r="H33" s="760"/>
      <c r="I33" s="760"/>
      <c r="J33" s="760"/>
      <c r="K33" s="760"/>
      <c r="L33" s="760"/>
      <c r="M33" s="766">
        <f>Vent!K31</f>
        <v>1</v>
      </c>
      <c r="N33" s="760"/>
    </row>
    <row r="34" spans="1:14">
      <c r="A34" s="795" t="s">
        <v>155</v>
      </c>
      <c r="B34" s="760"/>
      <c r="C34" s="760"/>
      <c r="D34" s="760"/>
      <c r="E34" s="760"/>
      <c r="F34" s="768">
        <f>Vent!G33</f>
        <v>0.55590000314940791</v>
      </c>
      <c r="G34" s="760"/>
      <c r="H34" s="760"/>
      <c r="I34" s="760"/>
      <c r="J34" s="760"/>
      <c r="K34" s="760"/>
      <c r="L34" s="760"/>
      <c r="M34" s="760"/>
      <c r="N34" s="760"/>
    </row>
    <row r="35" spans="1:14">
      <c r="A35" s="795" t="s">
        <v>158</v>
      </c>
      <c r="B35" s="760"/>
      <c r="C35" s="760"/>
      <c r="D35" s="760"/>
      <c r="E35" s="760"/>
      <c r="F35" s="794">
        <f>Vent!G34</f>
        <v>58.941521433928571</v>
      </c>
      <c r="G35" s="760"/>
      <c r="H35" s="760"/>
      <c r="I35" s="760"/>
      <c r="J35" s="760"/>
      <c r="K35" s="760"/>
      <c r="L35" s="760"/>
      <c r="M35" s="760"/>
      <c r="N35" s="760"/>
    </row>
    <row r="36" spans="1:14">
      <c r="A36" s="760" t="str">
        <f>Vent!H24</f>
        <v>Permeability test carried out and meets guidelines in TGD L?</v>
      </c>
      <c r="B36" s="760"/>
      <c r="C36" s="760"/>
      <c r="D36" s="760"/>
      <c r="E36" s="760"/>
      <c r="F36" s="760"/>
      <c r="G36" s="760" t="str">
        <f>Vent!M24</f>
        <v>Complies</v>
      </c>
      <c r="H36" s="760"/>
      <c r="I36" s="760"/>
      <c r="J36" s="760"/>
      <c r="K36" s="760"/>
      <c r="L36" s="760"/>
      <c r="M36" s="760"/>
      <c r="N36" s="760"/>
    </row>
    <row r="37" spans="1:14">
      <c r="A37" s="216" t="s">
        <v>1455</v>
      </c>
      <c r="B37" s="760"/>
      <c r="C37" s="760"/>
      <c r="D37" s="760"/>
      <c r="E37" s="760"/>
      <c r="F37" s="760"/>
      <c r="G37" s="760"/>
      <c r="H37" s="760" t="str">
        <f>IF(M33&lt;3,"Not applicable",":")</f>
        <v>Not applicable</v>
      </c>
      <c r="I37" s="760"/>
      <c r="J37" s="760"/>
      <c r="K37" s="760"/>
      <c r="L37" s="760"/>
      <c r="M37" s="760"/>
      <c r="N37" s="760"/>
    </row>
    <row r="38" spans="1:14">
      <c r="A38" s="763"/>
      <c r="B38" s="788" t="s">
        <v>1400</v>
      </c>
      <c r="C38" s="788"/>
      <c r="D38" s="788"/>
      <c r="E38" s="788"/>
      <c r="F38" s="788"/>
      <c r="G38" s="788"/>
      <c r="H38" s="788"/>
      <c r="I38" s="787" t="str">
        <f>Vent!H37</f>
        <v>Yes</v>
      </c>
      <c r="J38" s="760"/>
      <c r="K38" s="760"/>
      <c r="L38" s="760"/>
      <c r="M38" s="760"/>
      <c r="N38" s="760"/>
    </row>
    <row r="39" spans="1:14">
      <c r="A39" s="784"/>
      <c r="B39" s="780" t="s">
        <v>165</v>
      </c>
      <c r="C39" s="780"/>
      <c r="D39" s="780"/>
      <c r="E39" s="780"/>
      <c r="F39" s="780"/>
      <c r="G39" s="780"/>
      <c r="H39" s="780"/>
      <c r="I39" s="802">
        <f>IF(I38="Yes",Vent!H39,"-")</f>
        <v>0</v>
      </c>
      <c r="J39" s="760"/>
      <c r="K39" s="760"/>
      <c r="L39" s="760"/>
      <c r="M39" s="760"/>
      <c r="N39" s="760"/>
    </row>
    <row r="40" spans="1:14">
      <c r="A40" s="784"/>
      <c r="B40" s="780" t="s">
        <v>169</v>
      </c>
      <c r="C40" s="780"/>
      <c r="D40" s="780"/>
      <c r="E40" s="780"/>
      <c r="F40" s="780"/>
      <c r="G40" s="780"/>
      <c r="H40" s="780"/>
      <c r="I40" s="802">
        <f>IF(I38="Yes",Vent!J41,"-")</f>
        <v>0.2</v>
      </c>
      <c r="J40" s="760"/>
      <c r="K40" s="760"/>
      <c r="L40" s="760"/>
      <c r="M40" s="760"/>
      <c r="N40" s="760"/>
    </row>
    <row r="41" spans="1:14">
      <c r="A41" s="798"/>
      <c r="B41" s="778" t="s">
        <v>171</v>
      </c>
      <c r="C41" s="778"/>
      <c r="D41" s="778"/>
      <c r="E41" s="778"/>
      <c r="F41" s="778"/>
      <c r="G41" s="778"/>
      <c r="H41" s="778"/>
      <c r="I41" s="797" t="str">
        <f>IF(AND(I38="Yes",M33=6),Vent!J43,"-")</f>
        <v>-</v>
      </c>
      <c r="J41" s="760"/>
      <c r="K41" s="760"/>
      <c r="L41" s="760"/>
      <c r="M41" s="760"/>
      <c r="N41" s="760"/>
    </row>
    <row r="42" spans="1:14">
      <c r="A42" s="760"/>
      <c r="B42" s="760"/>
      <c r="C42" s="760"/>
      <c r="D42" s="760"/>
      <c r="E42" s="760"/>
      <c r="F42" s="760"/>
      <c r="G42" s="760"/>
      <c r="H42" s="760"/>
      <c r="I42" s="760"/>
      <c r="J42" s="760"/>
      <c r="K42" s="760"/>
      <c r="L42" s="760"/>
      <c r="M42" s="760"/>
      <c r="N42" s="760"/>
    </row>
    <row r="43" spans="1:14">
      <c r="A43" s="764" t="s">
        <v>1454</v>
      </c>
      <c r="B43" s="760"/>
      <c r="C43" s="760"/>
      <c r="D43" s="760"/>
      <c r="E43" s="760"/>
      <c r="F43" s="760"/>
      <c r="G43" s="760"/>
      <c r="H43" s="760"/>
      <c r="I43" s="760"/>
      <c r="J43" s="760"/>
      <c r="K43" s="760"/>
      <c r="L43" s="760"/>
      <c r="M43" s="760"/>
      <c r="N43" s="760"/>
    </row>
    <row r="44" spans="1:14">
      <c r="A44" s="760" t="s">
        <v>202</v>
      </c>
      <c r="B44" s="760"/>
      <c r="C44" s="760"/>
      <c r="D44" s="760"/>
      <c r="E44" s="766" t="str">
        <f>Win!E4</f>
        <v>East/West</v>
      </c>
      <c r="F44" s="766" t="str">
        <f>Win!F4</f>
        <v>South</v>
      </c>
      <c r="G44" s="766" t="str">
        <f>Win!G4</f>
        <v>North</v>
      </c>
      <c r="H44" s="766" t="str">
        <f>Win!H4</f>
        <v>SE/SW</v>
      </c>
      <c r="I44" s="766" t="str">
        <f>Win!I4</f>
        <v>South</v>
      </c>
      <c r="J44" s="766" t="str">
        <f>Win!J4</f>
        <v>North</v>
      </c>
      <c r="K44" s="766" t="str">
        <f>Win!K4</f>
        <v>North</v>
      </c>
      <c r="L44" s="766" t="str">
        <f>Win!L4</f>
        <v>North</v>
      </c>
      <c r="M44" s="766" t="str">
        <f>Win!M4</f>
        <v>Horizontal</v>
      </c>
      <c r="N44" s="760"/>
    </row>
    <row r="45" spans="1:14">
      <c r="A45" s="760" t="s">
        <v>208</v>
      </c>
      <c r="B45" s="760"/>
      <c r="C45" s="760"/>
      <c r="D45" s="760"/>
      <c r="E45" s="766">
        <f>Win!E5</f>
        <v>3</v>
      </c>
      <c r="F45" s="766">
        <f>Win!F5</f>
        <v>5</v>
      </c>
      <c r="G45" s="766">
        <f>Win!G5</f>
        <v>1</v>
      </c>
      <c r="H45" s="766">
        <f>Win!H5</f>
        <v>4</v>
      </c>
      <c r="I45" s="766">
        <f>Win!I5</f>
        <v>5</v>
      </c>
      <c r="J45" s="766">
        <f>Win!J5</f>
        <v>1</v>
      </c>
      <c r="K45" s="766">
        <f>Win!K5</f>
        <v>1</v>
      </c>
      <c r="L45" s="766">
        <f>Win!L5</f>
        <v>1</v>
      </c>
      <c r="M45" s="766">
        <f>Win!M5</f>
        <v>6</v>
      </c>
      <c r="N45" s="760"/>
    </row>
    <row r="46" spans="1:14" ht="14.25">
      <c r="A46" s="760" t="s">
        <v>209</v>
      </c>
      <c r="B46" s="760"/>
      <c r="C46" s="760"/>
      <c r="D46" s="760"/>
      <c r="E46" s="766">
        <f>Win!E6</f>
        <v>28.7</v>
      </c>
      <c r="F46" s="766">
        <f>Win!F6</f>
        <v>0</v>
      </c>
      <c r="G46" s="766">
        <f>Win!G6</f>
        <v>0.9</v>
      </c>
      <c r="H46" s="766">
        <f>Win!H6</f>
        <v>0</v>
      </c>
      <c r="I46" s="766">
        <f>Win!I6</f>
        <v>0</v>
      </c>
      <c r="J46" s="766">
        <f>Win!J6</f>
        <v>0</v>
      </c>
      <c r="K46" s="766">
        <f>Win!K6</f>
        <v>0</v>
      </c>
      <c r="L46" s="766">
        <f>Win!L6</f>
        <v>0</v>
      </c>
      <c r="M46" s="766">
        <f>Win!M6</f>
        <v>0</v>
      </c>
      <c r="N46" s="809"/>
    </row>
    <row r="47" spans="1:14" ht="14.25">
      <c r="A47" s="760" t="s">
        <v>212</v>
      </c>
      <c r="B47" s="760"/>
      <c r="C47" s="760"/>
      <c r="D47" s="760"/>
      <c r="E47" s="768">
        <f>Win!E9</f>
        <v>0.9</v>
      </c>
      <c r="F47" s="768">
        <f>Win!F9</f>
        <v>0.9</v>
      </c>
      <c r="G47" s="768">
        <f>Win!G9</f>
        <v>0.9</v>
      </c>
      <c r="H47" s="768">
        <f>Win!H9</f>
        <v>0</v>
      </c>
      <c r="I47" s="768">
        <f>Win!I9</f>
        <v>0</v>
      </c>
      <c r="J47" s="768">
        <f>Win!J9</f>
        <v>0</v>
      </c>
      <c r="K47" s="768">
        <f>Win!K9</f>
        <v>0</v>
      </c>
      <c r="L47" s="768">
        <f>Win!L9</f>
        <v>0</v>
      </c>
      <c r="M47" s="768">
        <f>Win!M9</f>
        <v>0</v>
      </c>
      <c r="N47" s="760"/>
    </row>
    <row r="48" spans="1:14">
      <c r="A48" s="760" t="s">
        <v>213</v>
      </c>
      <c r="B48" s="760"/>
      <c r="C48" s="760"/>
      <c r="D48" s="760"/>
      <c r="E48" s="768" t="str">
        <f>Win!E10</f>
        <v>Yes</v>
      </c>
      <c r="F48" s="768" t="str">
        <f>Win!F10</f>
        <v>Yes</v>
      </c>
      <c r="G48" s="768" t="str">
        <f>Win!G10</f>
        <v>Yes</v>
      </c>
      <c r="H48" s="768" t="str">
        <f>Win!H10</f>
        <v>-</v>
      </c>
      <c r="I48" s="768" t="str">
        <f>Win!I10</f>
        <v>-</v>
      </c>
      <c r="J48" s="768" t="str">
        <f>Win!J10</f>
        <v>-</v>
      </c>
      <c r="K48" s="768" t="str">
        <f>Win!K10</f>
        <v>-</v>
      </c>
      <c r="L48" s="768" t="str">
        <f>Win!L10</f>
        <v>-</v>
      </c>
      <c r="M48" s="768" t="str">
        <f>Win!M10</f>
        <v>-</v>
      </c>
      <c r="N48" s="760"/>
    </row>
    <row r="49" spans="1:14">
      <c r="A49" s="795" t="s">
        <v>214</v>
      </c>
      <c r="B49" s="760"/>
      <c r="C49" s="760"/>
      <c r="D49" s="760"/>
      <c r="E49" s="768"/>
      <c r="F49" s="768"/>
      <c r="G49" s="768"/>
      <c r="H49" s="768"/>
      <c r="I49" s="768"/>
      <c r="J49" s="768"/>
      <c r="K49" s="768"/>
      <c r="L49" s="768"/>
      <c r="M49" s="768"/>
      <c r="N49" s="760"/>
    </row>
    <row r="50" spans="1:14">
      <c r="A50" s="760"/>
      <c r="B50" s="760" t="s">
        <v>165</v>
      </c>
      <c r="C50" s="760"/>
      <c r="D50" s="760"/>
      <c r="E50" s="766" t="str">
        <f>IF(ISBLANK(Win!E12),"-",Win!E12)</f>
        <v>-</v>
      </c>
      <c r="F50" s="766" t="str">
        <f>IF(ISBLANK(Win!F12),"-",Win!F12)</f>
        <v>-</v>
      </c>
      <c r="G50" s="766" t="str">
        <f>IF(ISBLANK(Win!G12),"-",Win!G12)</f>
        <v>-</v>
      </c>
      <c r="H50" s="766" t="str">
        <f>IF(ISBLANK(Win!H12),"-",Win!H12)</f>
        <v>-</v>
      </c>
      <c r="I50" s="766" t="str">
        <f>IF(ISBLANK(Win!I12),"-",Win!I12)</f>
        <v>-</v>
      </c>
      <c r="J50" s="766" t="str">
        <f>IF(ISBLANK(Win!J12),"-",Win!J12)</f>
        <v>-</v>
      </c>
      <c r="K50" s="766" t="str">
        <f>IF(ISBLANK(Win!K12),"-",Win!K12)</f>
        <v>-</v>
      </c>
      <c r="L50" s="766" t="str">
        <f>IF(ISBLANK(Win!L12),"-",Win!L12)</f>
        <v>-</v>
      </c>
      <c r="M50" s="766" t="str">
        <f>IF(ISBLANK(Win!M12),"-",Win!M12)</f>
        <v>-</v>
      </c>
      <c r="N50" s="760"/>
    </row>
    <row r="51" spans="1:14">
      <c r="A51" s="760"/>
      <c r="B51" s="760" t="s">
        <v>215</v>
      </c>
      <c r="C51" s="760"/>
      <c r="D51" s="760"/>
      <c r="E51" s="766">
        <f>IF(ISBLANK(Win!E13),"-",Win!E13)</f>
        <v>0.6</v>
      </c>
      <c r="F51" s="766">
        <f>IF(ISBLANK(Win!F13),"-",Win!F13)</f>
        <v>0.6</v>
      </c>
      <c r="G51" s="766">
        <f>IF(ISBLANK(Win!G13),"-",Win!G13)</f>
        <v>0.6</v>
      </c>
      <c r="H51" s="766" t="str">
        <f>IF(ISBLANK(Win!H13),"-",Win!H13)</f>
        <v>-</v>
      </c>
      <c r="I51" s="766" t="str">
        <f>IF(ISBLANK(Win!I13),"-",Win!I13)</f>
        <v>-</v>
      </c>
      <c r="J51" s="766" t="str">
        <f>IF(ISBLANK(Win!J13),"-",Win!J13)</f>
        <v>-</v>
      </c>
      <c r="K51" s="766" t="str">
        <f>IF(ISBLANK(Win!K13),"-",Win!K13)</f>
        <v>-</v>
      </c>
      <c r="L51" s="766" t="str">
        <f>IF(ISBLANK(Win!L13),"-",Win!L13)</f>
        <v>-</v>
      </c>
      <c r="M51" s="766" t="str">
        <f>IF(ISBLANK(Win!M13),"-",Win!M13)</f>
        <v>-</v>
      </c>
      <c r="N51" s="760"/>
    </row>
    <row r="52" spans="1:14">
      <c r="A52" s="795" t="s">
        <v>172</v>
      </c>
      <c r="B52" s="760"/>
      <c r="C52" s="760"/>
      <c r="D52" s="760"/>
      <c r="E52" s="766"/>
      <c r="F52" s="766"/>
      <c r="G52" s="766"/>
      <c r="H52" s="766"/>
      <c r="I52" s="766"/>
      <c r="J52" s="766"/>
      <c r="K52" s="766"/>
      <c r="L52" s="766"/>
      <c r="M52" s="766"/>
      <c r="N52" s="760"/>
    </row>
    <row r="53" spans="1:14">
      <c r="A53" s="760" t="s">
        <v>1453</v>
      </c>
      <c r="B53" s="760"/>
      <c r="C53" s="760"/>
      <c r="D53" s="760"/>
      <c r="E53" s="760"/>
      <c r="F53" s="760"/>
      <c r="G53" s="760"/>
      <c r="H53" s="760"/>
      <c r="I53" s="760"/>
      <c r="J53" s="760"/>
      <c r="K53" s="760"/>
      <c r="L53" s="760"/>
      <c r="M53" s="760"/>
      <c r="N53" s="760"/>
    </row>
    <row r="54" spans="1:14">
      <c r="A54" s="760"/>
      <c r="B54" s="760"/>
      <c r="C54" s="760"/>
      <c r="D54" s="760"/>
      <c r="E54" s="766">
        <f>Win!E16</f>
        <v>0</v>
      </c>
      <c r="F54" s="766">
        <f>Win!F16</f>
        <v>0</v>
      </c>
      <c r="G54" s="766">
        <f>Win!G16</f>
        <v>0</v>
      </c>
      <c r="H54" s="766">
        <f>Win!H16</f>
        <v>0</v>
      </c>
      <c r="I54" s="766">
        <f>Win!I16</f>
        <v>0</v>
      </c>
      <c r="J54" s="766">
        <f>Win!J16</f>
        <v>0</v>
      </c>
      <c r="K54" s="766">
        <f>Win!K16</f>
        <v>0</v>
      </c>
      <c r="L54" s="766">
        <f>Win!L16</f>
        <v>0</v>
      </c>
      <c r="M54" s="766">
        <f>Win!M16</f>
        <v>0</v>
      </c>
      <c r="N54" s="760"/>
    </row>
    <row r="55" spans="1:14">
      <c r="A55" s="760" t="s">
        <v>1452</v>
      </c>
      <c r="B55" s="760"/>
      <c r="C55" s="760"/>
      <c r="D55" s="760"/>
      <c r="E55" s="766">
        <f>Win!E22</f>
        <v>2</v>
      </c>
      <c r="F55" s="766">
        <f>Win!F22</f>
        <v>2</v>
      </c>
      <c r="G55" s="766">
        <f>Win!G22</f>
        <v>2</v>
      </c>
      <c r="H55" s="766">
        <f>Win!H22</f>
        <v>0</v>
      </c>
      <c r="I55" s="766">
        <f>Win!I22</f>
        <v>0</v>
      </c>
      <c r="J55" s="766">
        <f>Win!J22</f>
        <v>0</v>
      </c>
      <c r="K55" s="766">
        <f>Win!K22</f>
        <v>0</v>
      </c>
      <c r="L55" s="766">
        <f>Win!L22</f>
        <v>0</v>
      </c>
      <c r="M55" s="766">
        <f>Win!M22</f>
        <v>0</v>
      </c>
      <c r="N55" s="760"/>
    </row>
    <row r="56" spans="1:14">
      <c r="A56" s="760" t="s">
        <v>225</v>
      </c>
      <c r="B56" s="760"/>
      <c r="C56" s="760"/>
      <c r="D56" s="760"/>
      <c r="E56" s="768">
        <f>Win!E25</f>
        <v>0.7</v>
      </c>
      <c r="F56" s="768">
        <f>Win!F25</f>
        <v>0.7</v>
      </c>
      <c r="G56" s="768">
        <f>Win!G25</f>
        <v>0.7</v>
      </c>
      <c r="H56" s="768">
        <f>Win!H25</f>
        <v>0</v>
      </c>
      <c r="I56" s="768">
        <f>Win!I25</f>
        <v>0</v>
      </c>
      <c r="J56" s="768">
        <f>Win!J25</f>
        <v>0</v>
      </c>
      <c r="K56" s="768">
        <f>Win!K25</f>
        <v>0</v>
      </c>
      <c r="L56" s="768">
        <f>Win!L25</f>
        <v>0</v>
      </c>
      <c r="M56" s="768">
        <f>Win!M25</f>
        <v>0</v>
      </c>
      <c r="N56" s="760"/>
    </row>
    <row r="57" spans="1:14">
      <c r="A57" s="760" t="s">
        <v>1451</v>
      </c>
      <c r="B57" s="760"/>
      <c r="C57" s="760"/>
      <c r="D57" s="760"/>
      <c r="E57" s="766">
        <f>Win!E26</f>
        <v>7</v>
      </c>
      <c r="F57" s="766">
        <f>Win!F26</f>
        <v>7</v>
      </c>
      <c r="G57" s="766">
        <f>Win!G26</f>
        <v>7</v>
      </c>
      <c r="H57" s="766">
        <f>Win!H26</f>
        <v>0</v>
      </c>
      <c r="I57" s="766">
        <f>Win!I26</f>
        <v>0</v>
      </c>
      <c r="J57" s="766">
        <f>Win!J26</f>
        <v>0</v>
      </c>
      <c r="K57" s="766">
        <f>Win!K26</f>
        <v>0</v>
      </c>
      <c r="L57" s="766">
        <f>Win!L26</f>
        <v>0</v>
      </c>
      <c r="M57" s="766">
        <f>Win!M26</f>
        <v>0</v>
      </c>
      <c r="N57" s="760"/>
    </row>
    <row r="58" spans="1:14">
      <c r="A58" s="760"/>
      <c r="B58" s="760"/>
      <c r="C58" s="760"/>
      <c r="D58" s="760"/>
      <c r="E58" s="760"/>
      <c r="F58" s="760"/>
      <c r="G58" s="760"/>
      <c r="H58" s="760"/>
      <c r="I58" s="760"/>
      <c r="J58" s="760"/>
      <c r="K58" s="760"/>
      <c r="L58" s="760"/>
      <c r="M58" s="760"/>
      <c r="N58" s="760"/>
    </row>
    <row r="59" spans="1:14">
      <c r="A59" s="764" t="s">
        <v>308</v>
      </c>
      <c r="B59" s="760"/>
      <c r="C59" s="760"/>
      <c r="D59" s="760"/>
      <c r="E59" s="760"/>
      <c r="F59" s="760"/>
      <c r="G59" s="760"/>
      <c r="H59" s="760"/>
      <c r="I59" s="760"/>
      <c r="J59" s="760"/>
      <c r="K59" s="760"/>
      <c r="L59" s="760"/>
      <c r="M59" s="760"/>
      <c r="N59" s="760"/>
    </row>
    <row r="60" spans="1:14">
      <c r="A60" s="760" t="s">
        <v>272</v>
      </c>
      <c r="B60" s="760"/>
      <c r="C60" s="760"/>
      <c r="D60" s="766" t="s">
        <v>108</v>
      </c>
      <c r="E60" s="766" t="s">
        <v>273</v>
      </c>
      <c r="F60" s="808" t="s">
        <v>274</v>
      </c>
      <c r="G60" s="760" t="s">
        <v>275</v>
      </c>
      <c r="H60" s="760"/>
      <c r="I60" s="760"/>
      <c r="J60" s="216" t="s">
        <v>276</v>
      </c>
      <c r="K60" s="760"/>
      <c r="L60" s="760"/>
      <c r="M60" s="760"/>
      <c r="N60" s="760"/>
    </row>
    <row r="61" spans="1:14" ht="14.25">
      <c r="A61" s="760" t="s">
        <v>2</v>
      </c>
      <c r="B61" s="760"/>
      <c r="C61" s="760"/>
      <c r="D61" s="766" t="s">
        <v>111</v>
      </c>
      <c r="E61" s="766" t="s">
        <v>277</v>
      </c>
      <c r="F61" s="808" t="s">
        <v>278</v>
      </c>
      <c r="G61" s="760" t="s">
        <v>2</v>
      </c>
      <c r="H61" s="760"/>
      <c r="I61" s="760"/>
      <c r="J61" s="216" t="s">
        <v>279</v>
      </c>
      <c r="K61" s="760"/>
      <c r="L61" s="760"/>
      <c r="M61" s="760"/>
      <c r="N61" s="760"/>
    </row>
    <row r="62" spans="1:14">
      <c r="A62" s="795" t="s">
        <v>281</v>
      </c>
      <c r="B62" s="760"/>
      <c r="C62" s="760"/>
      <c r="D62" s="807">
        <f>Fab!D5</f>
        <v>29.599999999999998</v>
      </c>
      <c r="E62" s="807">
        <f>Fab!E5</f>
        <v>0.86872586872586854</v>
      </c>
      <c r="F62" s="807">
        <f>Fab!F5</f>
        <v>25.714285714285708</v>
      </c>
      <c r="G62" s="760" t="str">
        <f>IF(ISBLANK(Fab!G5),"-",Fab!G5)</f>
        <v>-</v>
      </c>
      <c r="H62" s="760"/>
      <c r="I62" s="760"/>
      <c r="J62" s="760"/>
      <c r="K62" s="760"/>
      <c r="L62" s="760"/>
      <c r="M62" s="760"/>
      <c r="N62" s="760"/>
    </row>
    <row r="63" spans="1:14">
      <c r="A63" s="760" t="s">
        <v>282</v>
      </c>
      <c r="B63" s="760"/>
      <c r="C63" s="760"/>
      <c r="D63" s="807">
        <f>Fab!D6</f>
        <v>1.85</v>
      </c>
      <c r="E63" s="807">
        <f>Fab!E6</f>
        <v>1.5</v>
      </c>
      <c r="F63" s="807">
        <f>Fab!F6</f>
        <v>2.7750000000000004</v>
      </c>
      <c r="G63" s="760" t="str">
        <f>IF(ISBLANK(Fab!G6),"-",Fab!G6)</f>
        <v>-</v>
      </c>
      <c r="H63" s="760"/>
      <c r="I63" s="760"/>
      <c r="J63" s="760"/>
      <c r="K63" s="760"/>
      <c r="L63" s="760"/>
      <c r="M63" s="760"/>
      <c r="N63" s="760"/>
    </row>
    <row r="64" spans="1:14">
      <c r="A64" s="760" t="s">
        <v>283</v>
      </c>
      <c r="B64" s="760"/>
      <c r="C64" s="760"/>
      <c r="D64" s="807">
        <f>Fab!D7</f>
        <v>63</v>
      </c>
      <c r="E64" s="807">
        <f>Fab!E7</f>
        <v>0.14000000000000001</v>
      </c>
      <c r="F64" s="807">
        <f>Fab!F7</f>
        <v>8.82</v>
      </c>
      <c r="G64" s="760" t="str">
        <f>IF(ISBLANK(Fab!G7),"-",Fab!G7)</f>
        <v>-</v>
      </c>
      <c r="H64" s="760"/>
      <c r="I64" s="760"/>
      <c r="J64" s="760" t="str">
        <f>Fab!J7</f>
        <v>No underfloor heating</v>
      </c>
      <c r="K64" s="760"/>
      <c r="L64" s="760"/>
      <c r="M64" s="760"/>
      <c r="N64" s="760"/>
    </row>
    <row r="65" spans="1:14">
      <c r="A65" s="760" t="s">
        <v>285</v>
      </c>
      <c r="B65" s="760"/>
      <c r="C65" s="760"/>
      <c r="D65" s="807">
        <f>Fab!D8</f>
        <v>0</v>
      </c>
      <c r="E65" s="807">
        <f>Fab!E8</f>
        <v>0</v>
      </c>
      <c r="F65" s="807">
        <f>Fab!F8</f>
        <v>0</v>
      </c>
      <c r="G65" s="760" t="str">
        <f>IF(ISBLANK(Fab!G8),"-",Fab!G8)</f>
        <v>-</v>
      </c>
      <c r="H65" s="760"/>
      <c r="I65" s="760"/>
      <c r="J65" s="760" t="str">
        <f>Fab!J8</f>
        <v>No underfloor heating</v>
      </c>
      <c r="K65" s="760"/>
      <c r="L65" s="760"/>
      <c r="M65" s="760"/>
      <c r="N65" s="760"/>
    </row>
    <row r="66" spans="1:14">
      <c r="A66" s="760" t="s">
        <v>286</v>
      </c>
      <c r="B66" s="760"/>
      <c r="C66" s="760"/>
      <c r="D66" s="807">
        <f>Fab!D9</f>
        <v>0</v>
      </c>
      <c r="E66" s="807">
        <f>Fab!E9</f>
        <v>0</v>
      </c>
      <c r="F66" s="807">
        <f>Fab!F9</f>
        <v>0</v>
      </c>
      <c r="G66" s="760" t="str">
        <f>IF(ISBLANK(Fab!G9),"-",Fab!G9)</f>
        <v>-</v>
      </c>
      <c r="H66" s="760"/>
      <c r="I66" s="760"/>
      <c r="J66" s="760" t="str">
        <f>Fab!J9</f>
        <v>No underfloor heating</v>
      </c>
      <c r="K66" s="760"/>
      <c r="L66" s="760"/>
      <c r="M66" s="760"/>
      <c r="N66" s="760"/>
    </row>
    <row r="67" spans="1:14">
      <c r="A67" s="760" t="s">
        <v>287</v>
      </c>
      <c r="B67" s="760"/>
      <c r="C67" s="760"/>
      <c r="D67" s="807">
        <f>Fab!D10</f>
        <v>85.7</v>
      </c>
      <c r="E67" s="807">
        <f>Fab!E10</f>
        <v>0.13</v>
      </c>
      <c r="F67" s="807">
        <f>Fab!F10</f>
        <v>11.141</v>
      </c>
      <c r="G67" s="760" t="str">
        <f>IF(ISBLANK(Fab!G10),"-",Fab!G10)</f>
        <v>-</v>
      </c>
      <c r="H67" s="760"/>
      <c r="I67" s="760"/>
      <c r="J67" s="760" t="str">
        <f>Fab!J10</f>
        <v>Wall relevant for TGD L fabric compliance check</v>
      </c>
      <c r="K67" s="760"/>
      <c r="L67" s="760"/>
      <c r="M67" s="760"/>
      <c r="N67" s="760"/>
    </row>
    <row r="68" spans="1:14">
      <c r="A68" s="760" t="s">
        <v>289</v>
      </c>
      <c r="B68" s="760"/>
      <c r="C68" s="760"/>
      <c r="D68" s="807">
        <f>Fab!D11</f>
        <v>0</v>
      </c>
      <c r="E68" s="807">
        <f>Fab!E11</f>
        <v>0</v>
      </c>
      <c r="F68" s="807">
        <f>Fab!F11</f>
        <v>0</v>
      </c>
      <c r="G68" s="760" t="str">
        <f>IF(ISBLANK(Fab!G11),"-",Fab!G11)</f>
        <v>-</v>
      </c>
      <c r="H68" s="760"/>
      <c r="I68" s="760"/>
      <c r="J68" s="760" t="str">
        <f>Fab!J11</f>
        <v>Wall relevant for TGD L fabric compliance check</v>
      </c>
      <c r="K68" s="760"/>
      <c r="L68" s="760"/>
      <c r="M68" s="760"/>
      <c r="N68" s="760"/>
    </row>
    <row r="69" spans="1:14">
      <c r="A69" s="760" t="s">
        <v>290</v>
      </c>
      <c r="B69" s="760"/>
      <c r="C69" s="760"/>
      <c r="D69" s="807">
        <f>Fab!D12</f>
        <v>0</v>
      </c>
      <c r="E69" s="807">
        <f>Fab!E12</f>
        <v>0</v>
      </c>
      <c r="F69" s="807">
        <f>Fab!F12</f>
        <v>0</v>
      </c>
      <c r="G69" s="760" t="str">
        <f>IF(ISBLANK(Fab!G12),"-",Fab!G12)</f>
        <v>-</v>
      </c>
      <c r="H69" s="760"/>
      <c r="I69" s="760"/>
      <c r="J69" s="760" t="str">
        <f>Fab!J12</f>
        <v>Wall relevant for TGD L fabric compliance check</v>
      </c>
      <c r="K69" s="760"/>
      <c r="L69" s="760"/>
      <c r="M69" s="760"/>
      <c r="N69" s="760"/>
    </row>
    <row r="70" spans="1:14">
      <c r="A70" s="760" t="s">
        <v>291</v>
      </c>
      <c r="B70" s="760"/>
      <c r="C70" s="760"/>
      <c r="D70" s="807">
        <f>Fab!D13</f>
        <v>0</v>
      </c>
      <c r="E70" s="807">
        <f>Fab!E13</f>
        <v>0</v>
      </c>
      <c r="F70" s="807">
        <f>Fab!F13</f>
        <v>0</v>
      </c>
      <c r="G70" s="760" t="str">
        <f>IF(ISBLANK(Fab!G13),"-",Fab!G13)</f>
        <v>-</v>
      </c>
      <c r="H70" s="760"/>
      <c r="I70" s="760"/>
      <c r="J70" s="760" t="str">
        <f>Fab!J13</f>
        <v>Wall relevant for TGD L fabric compliance check</v>
      </c>
      <c r="K70" s="760"/>
      <c r="L70" s="760"/>
      <c r="M70" s="760"/>
      <c r="N70" s="760"/>
    </row>
    <row r="71" spans="1:14">
      <c r="A71" s="760" t="s">
        <v>292</v>
      </c>
      <c r="B71" s="760"/>
      <c r="C71" s="760"/>
      <c r="D71" s="807">
        <f>Fab!D14</f>
        <v>0</v>
      </c>
      <c r="E71" s="807">
        <f>Fab!E14</f>
        <v>0</v>
      </c>
      <c r="F71" s="807">
        <f>Fab!F14</f>
        <v>0</v>
      </c>
      <c r="G71" s="760" t="str">
        <f>IF(ISBLANK(Fab!G14),"-",Fab!G14)</f>
        <v>-</v>
      </c>
      <c r="H71" s="760"/>
      <c r="I71" s="760"/>
      <c r="J71" s="760" t="str">
        <f>Fab!J14</f>
        <v>Wall relevant for TGD L fabric compliance check</v>
      </c>
      <c r="K71" s="760"/>
      <c r="L71" s="760"/>
      <c r="M71" s="760"/>
      <c r="N71" s="760"/>
    </row>
    <row r="72" spans="1:14">
      <c r="A72" s="760" t="s">
        <v>293</v>
      </c>
      <c r="B72" s="760"/>
      <c r="C72" s="760"/>
      <c r="D72" s="807">
        <f>Fab!D15</f>
        <v>63</v>
      </c>
      <c r="E72" s="807">
        <f>Fab!E15</f>
        <v>0.11</v>
      </c>
      <c r="F72" s="807">
        <f>Fab!F15</f>
        <v>6.93</v>
      </c>
      <c r="G72" s="760" t="str">
        <f>IF(ISBLANK(Fab!G15),"-",Fab!G15)</f>
        <v>-</v>
      </c>
      <c r="H72" s="760"/>
      <c r="I72" s="760"/>
      <c r="J72" s="760" t="str">
        <f>Fab!J15</f>
        <v>Pitched roof - Insulation at ceiling</v>
      </c>
      <c r="K72" s="760"/>
      <c r="L72" s="760"/>
      <c r="M72" s="760"/>
      <c r="N72" s="760"/>
    </row>
    <row r="73" spans="1:14">
      <c r="A73" s="760" t="s">
        <v>295</v>
      </c>
      <c r="B73" s="760"/>
      <c r="C73" s="760"/>
      <c r="D73" s="807">
        <f>Fab!D16</f>
        <v>0</v>
      </c>
      <c r="E73" s="807">
        <f>Fab!E16</f>
        <v>0</v>
      </c>
      <c r="F73" s="807">
        <f>Fab!F16</f>
        <v>0</v>
      </c>
      <c r="G73" s="760" t="str">
        <f>IF(ISBLANK(Fab!G16),"-",Fab!G16)</f>
        <v>-</v>
      </c>
      <c r="H73" s="760"/>
      <c r="I73" s="760"/>
      <c r="J73" s="760" t="str">
        <f>Fab!J16</f>
        <v>Pitched roof - Insulation at ceiling</v>
      </c>
      <c r="K73" s="760"/>
      <c r="L73" s="760"/>
      <c r="M73" s="760"/>
      <c r="N73" s="760"/>
    </row>
    <row r="74" spans="1:14">
      <c r="A74" s="760" t="s">
        <v>296</v>
      </c>
      <c r="B74" s="760"/>
      <c r="C74" s="760"/>
      <c r="D74" s="807">
        <f>Fab!D17</f>
        <v>0</v>
      </c>
      <c r="E74" s="807">
        <f>Fab!E17</f>
        <v>0</v>
      </c>
      <c r="F74" s="807">
        <f>Fab!F17</f>
        <v>0</v>
      </c>
      <c r="G74" s="760" t="str">
        <f>IF(ISBLANK(Fab!G17),"-",Fab!G17)</f>
        <v>-</v>
      </c>
      <c r="H74" s="760"/>
      <c r="I74" s="760"/>
      <c r="J74" s="760" t="str">
        <f>Fab!J17</f>
        <v>Pitched roof - Insulation at ceiling</v>
      </c>
      <c r="K74" s="760"/>
      <c r="L74" s="760"/>
      <c r="M74" s="760"/>
      <c r="N74" s="760"/>
    </row>
    <row r="75" spans="1:14">
      <c r="A75" s="760" t="s">
        <v>297</v>
      </c>
      <c r="B75" s="760"/>
      <c r="C75" s="760"/>
      <c r="D75" s="807">
        <f>Fab!D18</f>
        <v>0</v>
      </c>
      <c r="E75" s="807">
        <f>Fab!E18</f>
        <v>0</v>
      </c>
      <c r="F75" s="807">
        <f>Fab!F18</f>
        <v>0</v>
      </c>
      <c r="G75" s="760" t="str">
        <f>IF(ISBLANK(Fab!G18),"-",Fab!G18)</f>
        <v>-</v>
      </c>
      <c r="H75" s="760"/>
      <c r="I75" s="760"/>
      <c r="J75" s="760" t="str">
        <f>Fab!J18</f>
        <v>Pitched roof - Insulation at ceiling</v>
      </c>
      <c r="K75" s="760"/>
      <c r="L75" s="760"/>
      <c r="M75" s="760"/>
      <c r="N75" s="760"/>
    </row>
    <row r="76" spans="1:14">
      <c r="A76" s="760" t="s">
        <v>298</v>
      </c>
      <c r="B76" s="760"/>
      <c r="C76" s="760"/>
      <c r="D76" s="807">
        <f>Fab!D19</f>
        <v>0</v>
      </c>
      <c r="E76" s="807">
        <f>Fab!E19</f>
        <v>0</v>
      </c>
      <c r="F76" s="807">
        <f>Fab!F19</f>
        <v>0</v>
      </c>
      <c r="G76" s="760" t="str">
        <f>IF(ISBLANK(Fab!G19),"-",Fab!G19)</f>
        <v>-</v>
      </c>
      <c r="H76" s="760"/>
      <c r="I76" s="760"/>
      <c r="J76" s="760" t="str">
        <f>Fab!J19</f>
        <v>Pitched roof - Insulation at ceiling</v>
      </c>
      <c r="K76" s="760"/>
      <c r="L76" s="760"/>
      <c r="M76" s="760"/>
      <c r="N76" s="760"/>
    </row>
    <row r="77" spans="1:14" ht="14.25">
      <c r="A77" s="795" t="s">
        <v>1450</v>
      </c>
      <c r="B77" s="760"/>
      <c r="C77" s="760"/>
      <c r="D77" s="768">
        <f>Fab!D20</f>
        <v>243.15</v>
      </c>
      <c r="E77" s="766"/>
      <c r="F77" s="766"/>
      <c r="G77" s="760"/>
      <c r="H77" s="760"/>
      <c r="I77" s="760"/>
      <c r="J77" s="760"/>
      <c r="K77" s="760"/>
      <c r="L77" s="760"/>
      <c r="M77" s="760"/>
      <c r="N77" s="760"/>
    </row>
    <row r="78" spans="1:14">
      <c r="A78" s="806" t="s">
        <v>300</v>
      </c>
      <c r="B78" s="760"/>
      <c r="C78" s="760"/>
      <c r="D78" s="760"/>
      <c r="E78" s="766"/>
      <c r="F78" s="794">
        <f>Fab!F21</f>
        <v>55.380285714285705</v>
      </c>
      <c r="G78" s="760"/>
      <c r="H78" s="760"/>
      <c r="I78" s="760"/>
      <c r="J78" s="760"/>
      <c r="K78" s="760"/>
      <c r="L78" s="760"/>
      <c r="M78" s="760"/>
      <c r="N78" s="760"/>
    </row>
    <row r="79" spans="1:14" ht="14.25">
      <c r="A79" s="760" t="s">
        <v>1449</v>
      </c>
      <c r="B79" s="760"/>
      <c r="C79" s="760"/>
      <c r="D79" s="760"/>
      <c r="E79" s="766"/>
      <c r="F79" s="768">
        <f>Fab!G22</f>
        <v>0.05</v>
      </c>
      <c r="G79" s="760"/>
      <c r="H79" s="760"/>
      <c r="I79" s="760"/>
      <c r="J79" s="760"/>
      <c r="K79" s="760"/>
      <c r="L79" s="760"/>
      <c r="M79" s="760"/>
      <c r="N79" s="760"/>
    </row>
    <row r="80" spans="1:14">
      <c r="A80" s="795" t="s">
        <v>303</v>
      </c>
      <c r="B80" s="760"/>
      <c r="C80" s="760"/>
      <c r="D80" s="760"/>
      <c r="E80" s="766"/>
      <c r="F80" s="794">
        <f>Fab!F24</f>
        <v>67.537785714285704</v>
      </c>
      <c r="G80" s="760"/>
      <c r="H80" s="760"/>
      <c r="I80" s="760"/>
      <c r="J80" s="760"/>
      <c r="K80" s="760"/>
      <c r="L80" s="760"/>
      <c r="M80" s="760"/>
      <c r="N80" s="760"/>
    </row>
    <row r="81" spans="1:14">
      <c r="A81" s="760"/>
      <c r="B81" s="760"/>
      <c r="C81" s="760"/>
      <c r="D81" s="760"/>
      <c r="E81" s="766"/>
      <c r="F81" s="766"/>
      <c r="G81" s="760"/>
      <c r="H81" s="760"/>
      <c r="I81" s="760"/>
      <c r="J81" s="760"/>
      <c r="K81" s="760"/>
      <c r="L81" s="760"/>
      <c r="M81" s="760"/>
      <c r="N81" s="760"/>
    </row>
    <row r="82" spans="1:14">
      <c r="A82" s="795" t="s">
        <v>1448</v>
      </c>
      <c r="B82" s="760"/>
      <c r="C82" s="760"/>
      <c r="D82" s="760"/>
      <c r="E82" s="766"/>
      <c r="F82" s="794">
        <f>hlc</f>
        <v>126.47930714821428</v>
      </c>
      <c r="G82" s="760"/>
      <c r="H82" s="760"/>
      <c r="I82" s="760"/>
      <c r="J82" s="760"/>
      <c r="K82" s="760"/>
      <c r="L82" s="760"/>
      <c r="M82" s="760"/>
      <c r="N82" s="760"/>
    </row>
    <row r="83" spans="1:14" ht="14.25">
      <c r="A83" s="795" t="s">
        <v>1447</v>
      </c>
      <c r="B83" s="760"/>
      <c r="C83" s="760"/>
      <c r="D83" s="760"/>
      <c r="E83" s="766"/>
      <c r="F83" s="768">
        <f>hlp</f>
        <v>1.0038040249858275</v>
      </c>
      <c r="G83" s="760"/>
      <c r="H83" s="760"/>
      <c r="I83" s="760"/>
      <c r="J83" s="760"/>
      <c r="K83" s="760"/>
      <c r="L83" s="760"/>
      <c r="M83" s="760"/>
      <c r="N83" s="760"/>
    </row>
    <row r="84" spans="1:14">
      <c r="A84" s="769"/>
      <c r="B84" s="760"/>
      <c r="C84" s="760"/>
      <c r="D84" s="760"/>
      <c r="E84" s="766"/>
      <c r="F84" s="766"/>
      <c r="G84" s="760"/>
      <c r="H84" s="760"/>
      <c r="I84" s="760"/>
      <c r="J84" s="760"/>
      <c r="K84" s="760"/>
      <c r="L84" s="760"/>
      <c r="M84" s="760"/>
      <c r="N84" s="760"/>
    </row>
    <row r="85" spans="1:14">
      <c r="A85" s="764" t="s">
        <v>349</v>
      </c>
      <c r="B85" s="760"/>
      <c r="C85" s="760"/>
      <c r="D85" s="760"/>
      <c r="E85" s="766"/>
      <c r="F85" s="766"/>
      <c r="G85" s="760"/>
      <c r="H85" s="760"/>
      <c r="I85" s="760"/>
      <c r="J85" s="760"/>
      <c r="K85" s="760"/>
      <c r="L85" s="760"/>
      <c r="M85" s="760"/>
      <c r="N85" s="760"/>
    </row>
    <row r="86" spans="1:14">
      <c r="A86" s="769" t="s">
        <v>405</v>
      </c>
      <c r="B86" s="760"/>
      <c r="C86" s="760"/>
      <c r="D86" s="760"/>
      <c r="E86" s="768" t="str">
        <f>WH!E53</f>
        <v>Yes</v>
      </c>
      <c r="F86" s="766"/>
      <c r="G86" s="760"/>
      <c r="H86" s="760"/>
      <c r="I86" s="760"/>
      <c r="J86" s="760"/>
      <c r="K86" s="760"/>
      <c r="L86" s="760"/>
      <c r="M86" s="760"/>
      <c r="N86" s="760"/>
    </row>
    <row r="87" spans="1:14">
      <c r="A87" s="769" t="s">
        <v>407</v>
      </c>
      <c r="B87" s="760"/>
      <c r="C87" s="760"/>
      <c r="D87" s="760"/>
      <c r="E87" s="794">
        <f>WH!G54</f>
        <v>290.32444503466053</v>
      </c>
      <c r="F87" s="766"/>
      <c r="G87" s="760"/>
      <c r="H87" s="760"/>
      <c r="I87" s="760"/>
      <c r="J87" s="760"/>
      <c r="K87" s="760"/>
      <c r="L87" s="760"/>
      <c r="M87" s="760"/>
      <c r="N87" s="760"/>
    </row>
    <row r="88" spans="1:14">
      <c r="A88" s="769"/>
      <c r="B88" s="760"/>
      <c r="C88" s="760"/>
      <c r="D88" s="760"/>
      <c r="E88" s="766"/>
      <c r="F88" s="766"/>
      <c r="G88" s="760"/>
      <c r="H88" s="760"/>
      <c r="I88" s="760"/>
      <c r="J88" s="760"/>
      <c r="K88" s="760"/>
      <c r="L88" s="760"/>
      <c r="M88" s="760"/>
      <c r="N88" s="760"/>
    </row>
    <row r="89" spans="1:14">
      <c r="A89" s="769" t="s">
        <v>409</v>
      </c>
      <c r="B89" s="760"/>
      <c r="C89" s="760"/>
      <c r="D89" s="760"/>
      <c r="E89" s="768" t="str">
        <f>WH!E56</f>
        <v>Yes</v>
      </c>
      <c r="F89" s="766">
        <f>WH!F56</f>
        <v>1</v>
      </c>
      <c r="G89" s="760"/>
      <c r="H89" s="760"/>
      <c r="I89" s="760"/>
      <c r="J89" s="760"/>
      <c r="K89" s="760"/>
      <c r="L89" s="760"/>
      <c r="M89" s="760"/>
      <c r="N89" s="760"/>
    </row>
    <row r="90" spans="1:14">
      <c r="A90" s="769" t="s">
        <v>164</v>
      </c>
      <c r="B90" s="760" t="str">
        <f>IF(F89=0,"Not applicable",":")</f>
        <v>:</v>
      </c>
      <c r="C90" s="760"/>
      <c r="D90" s="760"/>
      <c r="E90" s="766"/>
      <c r="F90" s="766"/>
      <c r="G90" s="760"/>
      <c r="H90" s="760"/>
      <c r="I90" s="760"/>
      <c r="J90" s="760"/>
      <c r="K90" s="760"/>
      <c r="L90" s="760"/>
      <c r="M90" s="760"/>
      <c r="N90" s="760"/>
    </row>
    <row r="91" spans="1:14">
      <c r="A91" s="769"/>
      <c r="B91" s="763" t="s">
        <v>410</v>
      </c>
      <c r="C91" s="788"/>
      <c r="D91" s="788"/>
      <c r="E91" s="805"/>
      <c r="F91" s="805"/>
      <c r="G91" s="788"/>
      <c r="H91" s="805">
        <f>cylVol</f>
        <v>120</v>
      </c>
      <c r="I91" s="804"/>
      <c r="J91" s="760"/>
      <c r="K91" s="760"/>
      <c r="L91" s="760"/>
      <c r="M91" s="760"/>
      <c r="N91" s="760"/>
    </row>
    <row r="92" spans="1:14">
      <c r="A92" s="769"/>
      <c r="B92" s="784"/>
      <c r="C92" s="780"/>
      <c r="D92" s="780"/>
      <c r="E92" s="780"/>
      <c r="F92" s="780"/>
      <c r="G92" s="780"/>
      <c r="H92" s="785"/>
      <c r="I92" s="802"/>
      <c r="J92" s="760"/>
      <c r="K92" s="760"/>
      <c r="L92" s="760"/>
      <c r="M92" s="760"/>
      <c r="N92" s="760"/>
    </row>
    <row r="93" spans="1:14">
      <c r="A93" s="769"/>
      <c r="B93" s="784" t="s">
        <v>413</v>
      </c>
      <c r="C93" s="780"/>
      <c r="D93" s="780"/>
      <c r="E93" s="780"/>
      <c r="F93" s="780"/>
      <c r="G93" s="780"/>
      <c r="H93" s="785" t="str">
        <f>WH!G60</f>
        <v>No</v>
      </c>
      <c r="I93" s="802">
        <f>WH!H60</f>
        <v>0</v>
      </c>
      <c r="J93" s="760"/>
      <c r="K93" s="760"/>
      <c r="L93" s="760"/>
      <c r="M93" s="760"/>
      <c r="N93" s="760"/>
    </row>
    <row r="94" spans="1:14">
      <c r="A94" s="769"/>
      <c r="B94" s="784" t="s">
        <v>164</v>
      </c>
      <c r="C94" s="780" t="str">
        <f>IF(I93=0,"Not applicable",":")</f>
        <v>Not applicable</v>
      </c>
      <c r="D94" s="780"/>
      <c r="E94" s="780"/>
      <c r="F94" s="780"/>
      <c r="G94" s="780"/>
      <c r="H94" s="785"/>
      <c r="I94" s="802"/>
      <c r="J94" s="760"/>
      <c r="K94" s="760"/>
      <c r="L94" s="760"/>
      <c r="M94" s="760"/>
      <c r="N94" s="760"/>
    </row>
    <row r="95" spans="1:14">
      <c r="A95" s="769"/>
      <c r="B95" s="784"/>
      <c r="C95" s="763" t="s">
        <v>414</v>
      </c>
      <c r="D95" s="788"/>
      <c r="E95" s="788"/>
      <c r="F95" s="788"/>
      <c r="G95" s="788"/>
      <c r="H95" s="804" t="str">
        <f>IF(ISBLANK(WH!H62),"-",WH!H62)</f>
        <v>-</v>
      </c>
      <c r="I95" s="802"/>
      <c r="J95" s="760"/>
      <c r="K95" s="760"/>
      <c r="L95" s="760"/>
      <c r="M95" s="760"/>
      <c r="N95" s="760"/>
    </row>
    <row r="96" spans="1:14">
      <c r="A96" s="769"/>
      <c r="B96" s="784"/>
      <c r="C96" s="798" t="s">
        <v>415</v>
      </c>
      <c r="D96" s="778"/>
      <c r="E96" s="778"/>
      <c r="F96" s="778"/>
      <c r="G96" s="778"/>
      <c r="H96" s="797">
        <f>WH!H63</f>
        <v>1.2</v>
      </c>
      <c r="I96" s="802"/>
      <c r="J96" s="760"/>
      <c r="K96" s="760"/>
      <c r="L96" s="760"/>
      <c r="M96" s="760"/>
      <c r="N96" s="760"/>
    </row>
    <row r="97" spans="1:14">
      <c r="A97" s="769"/>
      <c r="B97" s="784" t="s">
        <v>1446</v>
      </c>
      <c r="C97" s="780" t="str">
        <f>IF(I93,"Not applicable",":")</f>
        <v>:</v>
      </c>
      <c r="D97" s="780"/>
      <c r="E97" s="780"/>
      <c r="F97" s="780"/>
      <c r="G97" s="780"/>
      <c r="H97" s="780"/>
      <c r="I97" s="779"/>
      <c r="J97" s="760"/>
      <c r="K97" s="760"/>
      <c r="L97" s="760"/>
      <c r="M97" s="760"/>
      <c r="N97" s="760"/>
    </row>
    <row r="98" spans="1:14">
      <c r="A98" s="769"/>
      <c r="B98" s="784"/>
      <c r="C98" s="763" t="s">
        <v>418</v>
      </c>
      <c r="D98" s="788"/>
      <c r="E98" s="788"/>
      <c r="F98" s="788"/>
      <c r="G98" s="788"/>
      <c r="H98" s="803" t="str">
        <f>WH!G66</f>
        <v>Factory insulated</v>
      </c>
      <c r="I98" s="779"/>
      <c r="J98" s="760"/>
      <c r="K98" s="760"/>
      <c r="L98" s="760"/>
      <c r="M98" s="760"/>
      <c r="N98" s="760"/>
    </row>
    <row r="99" spans="1:14">
      <c r="A99" s="769"/>
      <c r="B99" s="784"/>
      <c r="C99" s="798" t="s">
        <v>420</v>
      </c>
      <c r="D99" s="778"/>
      <c r="E99" s="778"/>
      <c r="F99" s="778"/>
      <c r="G99" s="801"/>
      <c r="H99" s="797">
        <f>WH!H67</f>
        <v>100</v>
      </c>
      <c r="I99" s="802"/>
      <c r="J99" s="760"/>
      <c r="K99" s="760"/>
      <c r="L99" s="760"/>
      <c r="M99" s="760"/>
      <c r="N99" s="760"/>
    </row>
    <row r="100" spans="1:14">
      <c r="A100" s="769"/>
      <c r="B100" s="784" t="s">
        <v>172</v>
      </c>
      <c r="C100" s="780"/>
      <c r="D100" s="780"/>
      <c r="E100" s="780"/>
      <c r="F100" s="780"/>
      <c r="G100" s="785"/>
      <c r="H100" s="785"/>
      <c r="I100" s="802"/>
      <c r="J100" s="760"/>
      <c r="K100" s="760"/>
      <c r="L100" s="760"/>
      <c r="M100" s="760"/>
      <c r="N100" s="760"/>
    </row>
    <row r="101" spans="1:14">
      <c r="A101" s="760"/>
      <c r="B101" s="784" t="s">
        <v>425</v>
      </c>
      <c r="C101" s="780"/>
      <c r="D101" s="780"/>
      <c r="E101" s="780"/>
      <c r="F101" s="780"/>
      <c r="G101" s="785">
        <f>WH!G73</f>
        <v>0.6</v>
      </c>
      <c r="H101" s="785"/>
      <c r="I101" s="802"/>
      <c r="J101" s="760"/>
      <c r="K101" s="760"/>
      <c r="L101" s="760"/>
      <c r="M101" s="760"/>
      <c r="N101" s="760"/>
    </row>
    <row r="102" spans="1:14">
      <c r="A102" s="760"/>
      <c r="B102" s="798" t="s">
        <v>426</v>
      </c>
      <c r="C102" s="778"/>
      <c r="D102" s="778"/>
      <c r="E102" s="778"/>
      <c r="F102" s="778"/>
      <c r="G102" s="801">
        <f>WH!G74</f>
        <v>0.9</v>
      </c>
      <c r="H102" s="801"/>
      <c r="I102" s="797"/>
      <c r="J102" s="760"/>
      <c r="K102" s="760"/>
      <c r="L102" s="760"/>
      <c r="M102" s="760"/>
      <c r="N102" s="760"/>
    </row>
    <row r="103" spans="1:14">
      <c r="A103" s="760" t="s">
        <v>172</v>
      </c>
      <c r="B103" s="760"/>
      <c r="C103" s="760"/>
      <c r="D103" s="760"/>
      <c r="E103" s="760"/>
      <c r="F103" s="760"/>
      <c r="G103" s="766"/>
      <c r="H103" s="766"/>
      <c r="I103" s="766"/>
      <c r="J103" s="760"/>
      <c r="K103" s="760"/>
      <c r="L103" s="760"/>
      <c r="M103" s="760"/>
      <c r="N103" s="760"/>
    </row>
    <row r="104" spans="1:14">
      <c r="A104" s="760" t="s">
        <v>428</v>
      </c>
      <c r="B104" s="760"/>
      <c r="C104" s="760"/>
      <c r="D104" s="760"/>
      <c r="E104" s="760"/>
      <c r="F104" s="760"/>
      <c r="G104" s="766" t="str">
        <f>WH!F78</f>
        <v>No</v>
      </c>
      <c r="H104" s="766">
        <f>WH!G78</f>
        <v>0</v>
      </c>
      <c r="I104" s="766"/>
      <c r="J104" s="760"/>
      <c r="K104" s="760"/>
      <c r="L104" s="760"/>
      <c r="M104" s="760"/>
      <c r="N104" s="760"/>
    </row>
    <row r="105" spans="1:14">
      <c r="A105" s="760" t="s">
        <v>164</v>
      </c>
      <c r="B105" s="760" t="str">
        <f>IF(H104=0,"Not applicable",":")</f>
        <v>Not applicable</v>
      </c>
      <c r="C105" s="760"/>
      <c r="D105" s="760"/>
      <c r="E105" s="760"/>
      <c r="F105" s="760"/>
      <c r="G105" s="766"/>
      <c r="H105" s="766"/>
      <c r="I105" s="759"/>
      <c r="J105" s="760"/>
      <c r="K105" s="760"/>
      <c r="L105" s="760"/>
      <c r="M105" s="760"/>
      <c r="N105" s="760"/>
    </row>
    <row r="106" spans="1:14">
      <c r="A106" s="760"/>
      <c r="B106" s="800" t="s">
        <v>430</v>
      </c>
      <c r="C106" s="788"/>
      <c r="D106" s="788"/>
      <c r="E106" s="788"/>
      <c r="F106" s="788"/>
      <c r="G106" s="799">
        <f>WH!G81</f>
        <v>0</v>
      </c>
      <c r="H106" s="766"/>
      <c r="I106" s="766" t="s">
        <v>456</v>
      </c>
      <c r="J106" s="760"/>
      <c r="K106" s="796">
        <f>WH!C105</f>
        <v>0</v>
      </c>
      <c r="L106" s="760"/>
      <c r="M106" s="760"/>
      <c r="N106" s="760"/>
    </row>
    <row r="107" spans="1:14">
      <c r="A107" s="760"/>
      <c r="B107" s="798" t="s">
        <v>432</v>
      </c>
      <c r="C107" s="778"/>
      <c r="D107" s="778"/>
      <c r="E107" s="778"/>
      <c r="F107" s="778"/>
      <c r="G107" s="797" t="str">
        <f>WH!F83</f>
        <v>No</v>
      </c>
      <c r="H107" s="766"/>
      <c r="I107" s="766"/>
      <c r="J107" s="760"/>
      <c r="K107" s="760"/>
      <c r="L107" s="760"/>
      <c r="M107" s="760"/>
      <c r="N107" s="760"/>
    </row>
    <row r="108" spans="1:14">
      <c r="A108" s="760" t="s">
        <v>172</v>
      </c>
      <c r="B108" s="760"/>
      <c r="C108" s="760"/>
      <c r="D108" s="760"/>
      <c r="E108" s="760"/>
      <c r="F108" s="760"/>
      <c r="G108" s="766"/>
      <c r="H108" s="766"/>
      <c r="I108" s="766"/>
      <c r="J108" s="760"/>
      <c r="K108" s="760"/>
      <c r="L108" s="760"/>
      <c r="M108" s="760"/>
      <c r="N108" s="760"/>
    </row>
    <row r="109" spans="1:14">
      <c r="A109" s="760" t="s">
        <v>435</v>
      </c>
      <c r="B109" s="760"/>
      <c r="C109" s="760"/>
      <c r="D109" s="760"/>
      <c r="E109" s="760"/>
      <c r="F109" s="760"/>
      <c r="G109" s="766"/>
      <c r="H109" s="766"/>
      <c r="I109" s="766">
        <f>WH!G88</f>
        <v>360</v>
      </c>
      <c r="J109" s="760"/>
      <c r="K109" s="760"/>
      <c r="L109" s="760"/>
      <c r="M109" s="760"/>
      <c r="N109" s="760"/>
    </row>
    <row r="110" spans="1:14">
      <c r="A110" s="760" t="s">
        <v>437</v>
      </c>
      <c r="B110" s="760"/>
      <c r="C110" s="760"/>
      <c r="D110" s="760"/>
      <c r="E110" s="760"/>
      <c r="F110" s="760"/>
      <c r="G110" s="760"/>
      <c r="H110" s="760"/>
      <c r="I110" s="766">
        <f>WH!I91</f>
        <v>0</v>
      </c>
      <c r="J110" s="760"/>
      <c r="K110" s="760"/>
      <c r="L110" s="760"/>
      <c r="M110" s="760"/>
      <c r="N110" s="760"/>
    </row>
    <row r="111" spans="1:14">
      <c r="A111" s="760" t="s">
        <v>439</v>
      </c>
      <c r="B111" s="760"/>
      <c r="C111" s="760"/>
      <c r="D111" s="760"/>
      <c r="E111" s="760"/>
      <c r="F111" s="760"/>
      <c r="G111" s="760"/>
      <c r="H111" s="760"/>
      <c r="I111" s="766">
        <f>WH!I92</f>
        <v>0</v>
      </c>
      <c r="J111" s="760"/>
      <c r="K111" s="760"/>
      <c r="L111" s="760"/>
      <c r="M111" s="760"/>
      <c r="N111" s="760"/>
    </row>
    <row r="112" spans="1:14">
      <c r="A112" s="760" t="s">
        <v>1445</v>
      </c>
      <c r="B112" s="760"/>
      <c r="C112" s="760"/>
      <c r="D112" s="760"/>
      <c r="E112" s="760"/>
      <c r="F112" s="760"/>
      <c r="G112" s="760"/>
      <c r="H112" s="760"/>
      <c r="I112" s="766" t="str">
        <f>WH!H94</f>
        <v>No</v>
      </c>
      <c r="J112" s="760"/>
      <c r="K112" s="760"/>
      <c r="L112" s="760"/>
      <c r="M112" s="760"/>
      <c r="N112" s="760"/>
    </row>
    <row r="113" spans="1:14">
      <c r="A113" s="795" t="s">
        <v>448</v>
      </c>
      <c r="B113" s="760"/>
      <c r="C113" s="760"/>
      <c r="D113" s="760"/>
      <c r="E113" s="760"/>
      <c r="F113" s="760"/>
      <c r="G113" s="794">
        <f>WhReqt</f>
        <v>2488.6104499012713</v>
      </c>
      <c r="H113" s="760"/>
      <c r="I113" s="760"/>
      <c r="J113" s="760"/>
      <c r="K113" s="760"/>
      <c r="L113" s="760"/>
      <c r="M113" s="760"/>
      <c r="N113" s="760"/>
    </row>
    <row r="114" spans="1:14">
      <c r="A114" s="795" t="s">
        <v>449</v>
      </c>
      <c r="B114" s="760"/>
      <c r="C114" s="760"/>
      <c r="D114" s="760"/>
      <c r="E114" s="760"/>
      <c r="F114" s="760"/>
      <c r="G114" s="794">
        <f>WhReqtSup</f>
        <v>0</v>
      </c>
      <c r="H114" s="760"/>
      <c r="I114" s="760"/>
      <c r="J114" s="760"/>
      <c r="K114" s="760"/>
      <c r="L114" s="760"/>
      <c r="M114" s="760"/>
      <c r="N114" s="760"/>
    </row>
    <row r="115" spans="1:14">
      <c r="A115" s="795" t="s">
        <v>1444</v>
      </c>
      <c r="B115" s="760"/>
      <c r="C115" s="760"/>
      <c r="D115" s="760"/>
      <c r="E115" s="760"/>
      <c r="F115" s="760"/>
      <c r="G115" s="794">
        <f>WhGains</f>
        <v>123.97760725604934</v>
      </c>
      <c r="H115" s="760"/>
      <c r="I115" s="760"/>
      <c r="J115" s="760"/>
      <c r="K115" s="760"/>
      <c r="L115" s="760"/>
      <c r="M115" s="760"/>
      <c r="N115" s="760"/>
    </row>
    <row r="116" spans="1:14">
      <c r="A116" s="760" t="s">
        <v>441</v>
      </c>
      <c r="B116" s="760"/>
      <c r="C116" s="760"/>
      <c r="D116" s="760"/>
      <c r="E116" s="760"/>
      <c r="F116" s="760"/>
      <c r="G116" s="796" t="str">
        <f>WH!H93</f>
        <v>Yes</v>
      </c>
      <c r="H116" s="760"/>
      <c r="I116" s="760"/>
      <c r="J116" s="760"/>
      <c r="K116" s="760"/>
      <c r="L116" s="760"/>
      <c r="M116" s="760"/>
      <c r="N116" s="760"/>
    </row>
    <row r="117" spans="1:14">
      <c r="A117" s="764" t="s">
        <v>484</v>
      </c>
      <c r="B117" s="760"/>
      <c r="C117" s="760"/>
      <c r="D117" s="760"/>
      <c r="E117" s="760"/>
      <c r="F117" s="760"/>
      <c r="G117" s="760"/>
      <c r="H117" s="760"/>
      <c r="I117" s="760"/>
      <c r="J117" s="760"/>
      <c r="K117" s="760"/>
      <c r="L117" s="760"/>
      <c r="M117" s="760"/>
      <c r="N117" s="760"/>
    </row>
    <row r="118" spans="1:14">
      <c r="A118" s="760" t="s">
        <v>2</v>
      </c>
      <c r="B118" s="760"/>
      <c r="C118" s="760"/>
      <c r="D118" s="760"/>
      <c r="E118" s="760"/>
      <c r="F118" s="760"/>
      <c r="G118" s="766" t="s">
        <v>2</v>
      </c>
      <c r="H118" s="760"/>
      <c r="I118" s="760"/>
      <c r="J118" s="760"/>
      <c r="K118" s="760"/>
      <c r="L118" s="760"/>
      <c r="M118" s="760"/>
      <c r="N118" s="760"/>
    </row>
    <row r="119" spans="1:14">
      <c r="A119" s="795" t="s">
        <v>524</v>
      </c>
      <c r="B119" s="760"/>
      <c r="C119" s="760"/>
      <c r="D119" s="760"/>
      <c r="E119" s="760"/>
      <c r="F119" s="760"/>
      <c r="G119" s="794">
        <f>Light!G56</f>
        <v>246.51445106940128</v>
      </c>
      <c r="H119" s="760"/>
      <c r="I119" s="760"/>
      <c r="J119" s="760"/>
      <c r="K119" s="760"/>
      <c r="L119" s="760"/>
      <c r="M119" s="760"/>
      <c r="N119" s="760"/>
    </row>
    <row r="120" spans="1:14">
      <c r="A120" s="760"/>
      <c r="B120" s="760"/>
      <c r="C120" s="760"/>
      <c r="D120" s="760"/>
      <c r="E120" s="760"/>
      <c r="F120" s="760"/>
      <c r="G120" s="766"/>
      <c r="H120" s="760"/>
      <c r="I120" s="760"/>
      <c r="J120" s="760"/>
      <c r="K120" s="760"/>
      <c r="L120" s="760"/>
      <c r="M120" s="760"/>
      <c r="N120" s="760"/>
    </row>
    <row r="121" spans="1:14">
      <c r="A121" s="764" t="s">
        <v>531</v>
      </c>
      <c r="B121" s="760"/>
      <c r="C121" s="760"/>
      <c r="D121" s="760"/>
      <c r="E121" s="760"/>
      <c r="F121" s="760"/>
      <c r="G121" s="766"/>
      <c r="H121" s="760"/>
      <c r="I121" s="760"/>
      <c r="J121" s="760"/>
      <c r="K121" s="760"/>
      <c r="L121" s="760"/>
      <c r="M121" s="760"/>
      <c r="N121" s="760"/>
    </row>
    <row r="122" spans="1:14">
      <c r="A122" s="795" t="s">
        <v>536</v>
      </c>
      <c r="B122" s="760"/>
      <c r="C122" s="760"/>
      <c r="D122" s="760"/>
      <c r="E122" s="760"/>
      <c r="F122" s="760"/>
      <c r="G122" s="794">
        <f>Light!E70</f>
        <v>503.54221759880693</v>
      </c>
      <c r="H122" s="760"/>
      <c r="I122" s="760"/>
      <c r="J122" s="760"/>
      <c r="K122" s="760"/>
      <c r="L122" s="760"/>
      <c r="M122" s="760"/>
      <c r="N122" s="760"/>
    </row>
    <row r="123" spans="1:14">
      <c r="A123" s="760"/>
      <c r="B123" s="760"/>
      <c r="C123" s="760"/>
      <c r="D123" s="760"/>
      <c r="E123" s="760"/>
      <c r="F123" s="760"/>
      <c r="G123" s="766"/>
      <c r="H123" s="760"/>
      <c r="I123" s="760"/>
      <c r="J123" s="760"/>
      <c r="K123" s="760"/>
      <c r="L123" s="760"/>
      <c r="M123" s="760"/>
      <c r="N123" s="760"/>
    </row>
    <row r="124" spans="1:14">
      <c r="A124" s="764" t="s">
        <v>578</v>
      </c>
      <c r="B124" s="760"/>
      <c r="C124" s="760"/>
      <c r="D124" s="760"/>
      <c r="E124" s="760"/>
      <c r="F124" s="760"/>
      <c r="G124" s="766"/>
      <c r="H124" s="760"/>
      <c r="I124" s="760"/>
      <c r="J124" s="760"/>
      <c r="K124" s="760"/>
      <c r="L124" s="760"/>
      <c r="M124" s="760"/>
      <c r="N124" s="760"/>
    </row>
    <row r="125" spans="1:14">
      <c r="A125" s="30" t="s">
        <v>545</v>
      </c>
      <c r="B125" s="760"/>
      <c r="C125" s="760"/>
      <c r="D125" s="760"/>
      <c r="E125" s="768">
        <f>HtUse!G5</f>
        <v>0.25</v>
      </c>
      <c r="F125" s="760"/>
      <c r="G125" s="766"/>
      <c r="H125" s="760"/>
      <c r="I125" s="760"/>
      <c r="J125" s="760"/>
      <c r="K125" s="760"/>
      <c r="L125" s="760"/>
      <c r="M125" s="760"/>
      <c r="N125" s="760"/>
    </row>
    <row r="126" spans="1:14">
      <c r="A126" s="216" t="s">
        <v>548</v>
      </c>
      <c r="B126" s="760"/>
      <c r="C126" s="760"/>
      <c r="D126" s="760"/>
      <c r="E126" s="760" t="str">
        <f>HtUse!E9</f>
        <v>Medium</v>
      </c>
      <c r="F126" s="760"/>
      <c r="G126" s="766"/>
      <c r="H126" s="760"/>
      <c r="I126" s="760"/>
      <c r="J126" s="760"/>
      <c r="K126" s="760"/>
      <c r="L126" s="760"/>
      <c r="M126" s="760"/>
      <c r="N126" s="760"/>
    </row>
    <row r="127" spans="1:14">
      <c r="A127" s="59" t="s">
        <v>588</v>
      </c>
      <c r="B127" s="760"/>
      <c r="C127" s="760"/>
      <c r="D127" s="760"/>
      <c r="E127" s="794">
        <f>HeatUse</f>
        <v>2872.5876658783163</v>
      </c>
      <c r="F127" s="760"/>
      <c r="G127" s="766"/>
      <c r="H127" s="760"/>
      <c r="I127" s="760"/>
      <c r="J127" s="760"/>
      <c r="K127" s="760"/>
      <c r="L127" s="760"/>
      <c r="M127" s="760"/>
      <c r="N127" s="760"/>
    </row>
    <row r="128" spans="1:14">
      <c r="A128" s="760"/>
      <c r="B128" s="760"/>
      <c r="C128" s="760"/>
      <c r="D128" s="760"/>
      <c r="E128" s="760"/>
      <c r="F128" s="760"/>
      <c r="G128" s="766"/>
      <c r="H128" s="760"/>
      <c r="I128" s="760"/>
      <c r="J128" s="760"/>
      <c r="K128" s="760"/>
      <c r="L128" s="760"/>
      <c r="M128" s="760"/>
      <c r="N128" s="760"/>
    </row>
    <row r="129" spans="1:14">
      <c r="A129" s="764" t="s">
        <v>769</v>
      </c>
      <c r="B129" s="760"/>
      <c r="C129" s="760"/>
      <c r="D129" s="760"/>
      <c r="E129" s="760"/>
      <c r="F129" s="760"/>
      <c r="G129" s="766"/>
      <c r="H129" s="760"/>
      <c r="I129" s="760"/>
      <c r="J129" s="760"/>
      <c r="K129" s="760"/>
      <c r="L129" s="760"/>
      <c r="M129" s="760"/>
      <c r="N129" s="760"/>
    </row>
    <row r="130" spans="1:14">
      <c r="A130" s="771" t="s">
        <v>611</v>
      </c>
      <c r="B130" s="760"/>
      <c r="C130" s="760"/>
      <c r="D130" s="760"/>
      <c r="E130" s="760"/>
      <c r="F130" s="760"/>
      <c r="G130" s="766"/>
      <c r="H130" s="760"/>
      <c r="I130" s="760"/>
      <c r="J130" s="760"/>
      <c r="K130" s="760"/>
      <c r="L130" s="760"/>
      <c r="M130" s="760"/>
      <c r="N130" s="760"/>
    </row>
    <row r="131" spans="1:14">
      <c r="A131" s="760" t="s">
        <v>612</v>
      </c>
      <c r="B131" s="760"/>
      <c r="C131" s="760"/>
      <c r="D131" s="760"/>
      <c r="E131" s="760"/>
      <c r="F131" s="760"/>
      <c r="G131" s="766">
        <f>SH!H4</f>
        <v>0</v>
      </c>
      <c r="H131" s="760"/>
      <c r="I131" s="760"/>
      <c r="J131" s="760"/>
      <c r="K131" s="760"/>
      <c r="L131" s="760"/>
      <c r="M131" s="760"/>
      <c r="N131" s="760"/>
    </row>
    <row r="132" spans="1:14">
      <c r="A132" s="760" t="s">
        <v>614</v>
      </c>
      <c r="B132" s="760"/>
      <c r="C132" s="760"/>
      <c r="D132" s="760"/>
      <c r="E132" s="760"/>
      <c r="F132" s="760"/>
      <c r="G132" s="766">
        <f>ctrlCat</f>
        <v>3</v>
      </c>
      <c r="H132" s="760"/>
      <c r="I132" s="760"/>
      <c r="J132" s="760"/>
      <c r="K132" s="760"/>
      <c r="L132" s="760"/>
      <c r="M132" s="760"/>
      <c r="N132" s="760"/>
    </row>
    <row r="133" spans="1:14">
      <c r="A133" s="760" t="s">
        <v>618</v>
      </c>
      <c r="B133" s="760"/>
      <c r="C133" s="760"/>
      <c r="D133" s="760"/>
      <c r="E133" s="760"/>
      <c r="F133" s="760"/>
      <c r="G133" s="766">
        <f>respons</f>
        <v>1</v>
      </c>
      <c r="H133" s="760"/>
      <c r="I133" s="760"/>
      <c r="J133" s="760"/>
      <c r="K133" s="760"/>
      <c r="L133" s="760"/>
      <c r="M133" s="760"/>
      <c r="N133" s="760"/>
    </row>
    <row r="134" spans="1:14">
      <c r="A134" s="771" t="s">
        <v>625</v>
      </c>
      <c r="B134" s="760"/>
      <c r="C134" s="760"/>
      <c r="D134" s="760"/>
      <c r="E134" s="760"/>
      <c r="F134" s="760"/>
      <c r="G134" s="760"/>
      <c r="H134" s="760" t="s">
        <v>627</v>
      </c>
      <c r="I134" s="760" t="s">
        <v>628</v>
      </c>
      <c r="J134" s="760"/>
      <c r="K134" s="760" t="s">
        <v>630</v>
      </c>
      <c r="L134" s="760"/>
      <c r="M134" s="760"/>
      <c r="N134" s="760"/>
    </row>
    <row r="135" spans="1:14">
      <c r="A135" s="760"/>
      <c r="B135" s="760"/>
      <c r="C135" s="760"/>
      <c r="D135" s="760"/>
      <c r="E135" s="760"/>
      <c r="F135" s="760"/>
      <c r="G135" s="760"/>
      <c r="H135" s="760" t="s">
        <v>633</v>
      </c>
      <c r="I135" s="760" t="s">
        <v>1443</v>
      </c>
      <c r="J135" s="760"/>
      <c r="K135" s="760" t="s">
        <v>636</v>
      </c>
      <c r="L135" s="760"/>
      <c r="M135" s="760"/>
      <c r="N135" s="760"/>
    </row>
    <row r="136" spans="1:14">
      <c r="A136" s="760"/>
      <c r="B136" s="760"/>
      <c r="C136" s="760"/>
      <c r="D136" s="760"/>
      <c r="E136" s="760"/>
      <c r="F136" s="760"/>
      <c r="G136" s="760"/>
      <c r="H136" s="760" t="s">
        <v>638</v>
      </c>
      <c r="I136" s="760" t="s">
        <v>1442</v>
      </c>
      <c r="J136" s="760"/>
      <c r="K136" s="760" t="s">
        <v>641</v>
      </c>
      <c r="L136" s="760"/>
      <c r="M136" s="760"/>
      <c r="N136" s="760"/>
    </row>
    <row r="137" spans="1:14">
      <c r="A137" s="760" t="s">
        <v>642</v>
      </c>
      <c r="B137" s="760"/>
      <c r="C137" s="760"/>
      <c r="D137" s="760"/>
      <c r="E137" s="760"/>
      <c r="F137" s="760"/>
      <c r="G137" s="766"/>
      <c r="H137" s="794">
        <f>SH!H21</f>
        <v>1</v>
      </c>
      <c r="I137" s="766"/>
      <c r="J137" s="794" t="str">
        <f>SH!I21</f>
        <v>Yes</v>
      </c>
      <c r="K137" s="766"/>
      <c r="L137" s="760"/>
      <c r="M137" s="760"/>
      <c r="N137" s="760"/>
    </row>
    <row r="138" spans="1:14">
      <c r="A138" s="760" t="s">
        <v>643</v>
      </c>
      <c r="B138" s="760"/>
      <c r="C138" s="760"/>
      <c r="D138" s="760"/>
      <c r="E138" s="760"/>
      <c r="F138" s="760"/>
      <c r="G138" s="766"/>
      <c r="H138" s="794">
        <f>SH!H22</f>
        <v>0</v>
      </c>
      <c r="I138" s="766"/>
      <c r="J138" s="794" t="str">
        <f>SH!I22</f>
        <v>-</v>
      </c>
      <c r="K138" s="794" t="str">
        <f>SH!L22</f>
        <v>-</v>
      </c>
      <c r="L138" s="760"/>
      <c r="M138" s="760"/>
      <c r="N138" s="760"/>
    </row>
    <row r="139" spans="1:14">
      <c r="A139" s="760" t="s">
        <v>644</v>
      </c>
      <c r="B139" s="760"/>
      <c r="C139" s="760"/>
      <c r="D139" s="760"/>
      <c r="E139" s="760"/>
      <c r="F139" s="760"/>
      <c r="G139" s="766"/>
      <c r="H139" s="794">
        <f>SH!H23</f>
        <v>1</v>
      </c>
      <c r="I139" s="766"/>
      <c r="J139" s="766"/>
      <c r="K139" s="766"/>
      <c r="L139" s="760"/>
      <c r="M139" s="760"/>
      <c r="N139" s="760"/>
    </row>
    <row r="140" spans="1:14">
      <c r="A140" s="760" t="s">
        <v>1441</v>
      </c>
      <c r="B140" s="760"/>
      <c r="C140" s="760"/>
      <c r="D140" s="760"/>
      <c r="E140" s="760"/>
      <c r="F140" s="760"/>
      <c r="G140" s="794" t="str">
        <f>SH!G24</f>
        <v>No</v>
      </c>
      <c r="H140" s="766"/>
      <c r="I140" s="766"/>
      <c r="J140" s="766"/>
      <c r="K140" s="766"/>
      <c r="L140" s="760"/>
      <c r="M140" s="760"/>
      <c r="N140" s="760"/>
    </row>
    <row r="141" spans="1:14">
      <c r="A141" s="771" t="s">
        <v>650</v>
      </c>
      <c r="B141" s="760"/>
      <c r="C141" s="760"/>
      <c r="D141" s="760"/>
      <c r="E141" s="760"/>
      <c r="F141" s="760"/>
      <c r="G141" s="760"/>
      <c r="H141" s="760"/>
      <c r="I141" s="760"/>
      <c r="J141" s="760"/>
      <c r="K141" s="760"/>
      <c r="L141" s="760"/>
      <c r="M141" s="760"/>
      <c r="N141" s="760"/>
    </row>
    <row r="142" spans="1:14">
      <c r="A142" s="760" t="s">
        <v>1440</v>
      </c>
      <c r="B142" s="760"/>
      <c r="C142" s="760"/>
      <c r="D142" s="760"/>
      <c r="E142" s="760"/>
      <c r="F142" s="760"/>
      <c r="G142" s="760"/>
      <c r="H142" s="760"/>
      <c r="I142" s="766"/>
      <c r="J142" s="794" t="str">
        <f>SH!J33</f>
        <v>-</v>
      </c>
      <c r="K142" s="794">
        <f>SH!K33</f>
        <v>0</v>
      </c>
      <c r="L142" s="760"/>
      <c r="M142" s="760"/>
      <c r="N142" s="760"/>
    </row>
    <row r="143" spans="1:14" ht="14.25">
      <c r="A143" s="760"/>
      <c r="B143" s="760" t="s">
        <v>1439</v>
      </c>
      <c r="C143" s="760"/>
      <c r="D143" s="760"/>
      <c r="E143" s="760"/>
      <c r="F143" s="760"/>
      <c r="G143" s="760"/>
      <c r="H143" s="760"/>
      <c r="I143" s="766"/>
      <c r="J143" s="766">
        <f>SH!K34</f>
        <v>0</v>
      </c>
      <c r="K143" s="766"/>
      <c r="L143" s="760"/>
      <c r="M143" s="760"/>
      <c r="N143" s="760"/>
    </row>
    <row r="144" spans="1:14">
      <c r="A144" s="769" t="s">
        <v>1438</v>
      </c>
      <c r="B144" s="760"/>
      <c r="C144" s="760"/>
      <c r="D144" s="760"/>
      <c r="E144" s="760" t="str">
        <f>SH!E39</f>
        <v>Individual system</v>
      </c>
      <c r="F144" s="760"/>
      <c r="G144" s="760"/>
      <c r="H144" s="760"/>
      <c r="I144" s="766">
        <f>SH!I39</f>
        <v>1</v>
      </c>
      <c r="J144" s="766"/>
      <c r="K144" s="766"/>
      <c r="L144" s="760"/>
      <c r="M144" s="760"/>
      <c r="N144" s="760"/>
    </row>
    <row r="145" spans="1:14">
      <c r="A145" s="760"/>
      <c r="B145" s="760"/>
      <c r="C145" s="760"/>
      <c r="D145" s="760"/>
      <c r="E145" s="760"/>
      <c r="F145" s="760"/>
      <c r="G145" s="760"/>
      <c r="H145" s="760"/>
      <c r="I145" s="760"/>
      <c r="J145" s="760"/>
      <c r="K145" s="760"/>
      <c r="L145" s="760"/>
      <c r="M145" s="760"/>
      <c r="N145" s="760"/>
    </row>
    <row r="146" spans="1:14">
      <c r="A146" s="764" t="s">
        <v>663</v>
      </c>
      <c r="B146" s="760"/>
      <c r="C146" s="760"/>
      <c r="D146" s="760"/>
      <c r="E146" s="760"/>
      <c r="F146" s="760"/>
      <c r="G146" s="760" t="str">
        <f>IF(I144&lt;&gt;1,"Not applicable",":")</f>
        <v>:</v>
      </c>
      <c r="H146" s="760"/>
      <c r="I146" s="760"/>
      <c r="J146" s="760"/>
      <c r="K146" s="760"/>
      <c r="L146" s="760"/>
      <c r="M146" s="760"/>
      <c r="N146" s="760"/>
    </row>
    <row r="147" spans="1:14">
      <c r="A147" s="789" t="s">
        <v>664</v>
      </c>
      <c r="B147" s="788"/>
      <c r="C147" s="788"/>
      <c r="D147" s="788"/>
      <c r="E147" s="788"/>
      <c r="F147" s="788"/>
      <c r="G147" s="788"/>
      <c r="H147" s="788"/>
      <c r="I147" s="788"/>
      <c r="J147" s="788"/>
      <c r="K147" s="788"/>
      <c r="L147" s="788"/>
      <c r="M147" s="787"/>
      <c r="N147" s="760"/>
    </row>
    <row r="148" spans="1:14">
      <c r="A148" s="784" t="s">
        <v>1470</v>
      </c>
      <c r="B148" s="780"/>
      <c r="C148" s="780"/>
      <c r="D148" s="780"/>
      <c r="E148" s="780"/>
      <c r="F148" s="780"/>
      <c r="G148" s="780"/>
      <c r="H148" s="780"/>
      <c r="I148" s="780"/>
      <c r="J148" s="817">
        <f>'ER1'!J7</f>
        <v>91.3</v>
      </c>
      <c r="K148" s="780"/>
      <c r="L148" s="780"/>
      <c r="M148" s="779"/>
      <c r="N148" s="760"/>
    </row>
    <row r="149" spans="1:14">
      <c r="A149" s="784" t="s">
        <v>677</v>
      </c>
      <c r="B149" s="780"/>
      <c r="C149" s="780"/>
      <c r="D149" s="780"/>
      <c r="E149" s="780"/>
      <c r="F149" s="780"/>
      <c r="G149" s="780"/>
      <c r="H149" s="780"/>
      <c r="I149" s="780"/>
      <c r="J149" s="785">
        <f>'ER1'!J8</f>
        <v>0</v>
      </c>
      <c r="K149" s="780"/>
      <c r="L149" s="780"/>
      <c r="M149" s="779"/>
      <c r="N149" s="760"/>
    </row>
    <row r="150" spans="1:14">
      <c r="A150" s="784" t="s">
        <v>1437</v>
      </c>
      <c r="B150" s="780"/>
      <c r="C150" s="780"/>
      <c r="D150" s="780"/>
      <c r="E150" s="780"/>
      <c r="F150" s="780"/>
      <c r="G150" s="780"/>
      <c r="H150" s="780"/>
      <c r="I150" s="780"/>
      <c r="J150" s="785">
        <f>'ER1'!J9</f>
        <v>0</v>
      </c>
      <c r="K150" s="780"/>
      <c r="L150" s="780"/>
      <c r="M150" s="779"/>
      <c r="N150" s="760"/>
    </row>
    <row r="151" spans="1:14">
      <c r="A151" s="786" t="s">
        <v>349</v>
      </c>
      <c r="B151" s="780"/>
      <c r="C151" s="780"/>
      <c r="D151" s="780"/>
      <c r="E151" s="780"/>
      <c r="F151" s="780"/>
      <c r="G151" s="780"/>
      <c r="H151" s="780"/>
      <c r="I151" s="780"/>
      <c r="J151" s="785"/>
      <c r="K151" s="780"/>
      <c r="L151" s="780"/>
      <c r="M151" s="779"/>
      <c r="N151" s="760"/>
    </row>
    <row r="152" spans="1:14">
      <c r="A152" s="784" t="s">
        <v>682</v>
      </c>
      <c r="B152" s="780"/>
      <c r="C152" s="780"/>
      <c r="D152" s="780"/>
      <c r="E152" s="780"/>
      <c r="F152" s="780"/>
      <c r="G152" s="780"/>
      <c r="H152" s="780"/>
      <c r="I152" s="780"/>
      <c r="J152" s="785">
        <f>'ER1'!J16</f>
        <v>91.3</v>
      </c>
      <c r="K152" s="780"/>
      <c r="L152" s="780"/>
      <c r="M152" s="779"/>
      <c r="N152" s="760"/>
    </row>
    <row r="153" spans="1:14">
      <c r="A153" s="784"/>
      <c r="B153" s="780"/>
      <c r="C153" s="780"/>
      <c r="D153" s="780"/>
      <c r="E153" s="780"/>
      <c r="F153" s="780"/>
      <c r="G153" s="780"/>
      <c r="H153" s="780"/>
      <c r="I153" s="780"/>
      <c r="J153" s="785"/>
      <c r="K153" s="780"/>
      <c r="L153" s="780"/>
      <c r="M153" s="779"/>
      <c r="N153" s="760"/>
    </row>
    <row r="154" spans="1:14">
      <c r="A154" s="786" t="s">
        <v>697</v>
      </c>
      <c r="B154" s="780"/>
      <c r="C154" s="780"/>
      <c r="D154" s="762" t="s">
        <v>698</v>
      </c>
      <c r="E154" s="780"/>
      <c r="F154" s="780"/>
      <c r="G154" s="780"/>
      <c r="H154" s="759"/>
      <c r="I154" s="759"/>
      <c r="J154" s="785"/>
      <c r="K154" s="759"/>
      <c r="L154" s="780"/>
      <c r="M154" s="779"/>
      <c r="N154" s="760"/>
    </row>
    <row r="155" spans="1:14">
      <c r="A155" s="784" t="s">
        <v>704</v>
      </c>
      <c r="B155" s="780"/>
      <c r="C155" s="780"/>
      <c r="D155" s="780" t="str">
        <f>'ER1'!D32</f>
        <v>mains gas</v>
      </c>
      <c r="E155" s="780"/>
      <c r="F155" s="780"/>
      <c r="G155" s="780"/>
      <c r="H155" s="782"/>
      <c r="I155" s="783"/>
      <c r="J155" s="782"/>
      <c r="K155" s="781"/>
      <c r="L155" s="780"/>
      <c r="M155" s="779"/>
      <c r="N155" s="760"/>
    </row>
    <row r="156" spans="1:14">
      <c r="A156" s="784" t="s">
        <v>706</v>
      </c>
      <c r="B156" s="780"/>
      <c r="C156" s="780"/>
      <c r="D156" s="780" t="str">
        <f>'ER1'!D33</f>
        <v>-</v>
      </c>
      <c r="E156" s="780"/>
      <c r="F156" s="780"/>
      <c r="G156" s="780"/>
      <c r="H156" s="782"/>
      <c r="I156" s="783"/>
      <c r="J156" s="782"/>
      <c r="K156" s="781"/>
      <c r="L156" s="780"/>
      <c r="M156" s="779"/>
      <c r="N156" s="760"/>
    </row>
    <row r="157" spans="1:14">
      <c r="A157" s="784" t="s">
        <v>707</v>
      </c>
      <c r="B157" s="780"/>
      <c r="C157" s="780"/>
      <c r="D157" s="780" t="str">
        <f>'ER1'!D34</f>
        <v>mains gas</v>
      </c>
      <c r="E157" s="780"/>
      <c r="F157" s="780"/>
      <c r="G157" s="780"/>
      <c r="H157" s="782"/>
      <c r="I157" s="783"/>
      <c r="J157" s="782"/>
      <c r="K157" s="781"/>
      <c r="L157" s="780"/>
      <c r="M157" s="779"/>
      <c r="N157" s="760"/>
    </row>
    <row r="158" spans="1:14">
      <c r="A158" s="784" t="s">
        <v>708</v>
      </c>
      <c r="B158" s="780"/>
      <c r="C158" s="780"/>
      <c r="D158" s="780" t="str">
        <f>'ER1'!D35</f>
        <v>-</v>
      </c>
      <c r="E158" s="780"/>
      <c r="F158" s="780"/>
      <c r="G158" s="780"/>
      <c r="H158" s="782"/>
      <c r="I158" s="783"/>
      <c r="J158" s="782"/>
      <c r="K158" s="759"/>
      <c r="L158" s="780"/>
      <c r="M158" s="779"/>
      <c r="N158" s="760"/>
    </row>
    <row r="159" spans="1:14" s="212" customFormat="1">
      <c r="A159" s="784" t="s">
        <v>737</v>
      </c>
      <c r="B159" s="780"/>
      <c r="C159" s="780"/>
      <c r="D159" s="791">
        <f>'ER1'!F60</f>
        <v>886</v>
      </c>
      <c r="E159" s="780" t="s">
        <v>1474</v>
      </c>
      <c r="F159" s="780"/>
      <c r="G159" s="780"/>
      <c r="H159" s="782"/>
      <c r="I159" s="783"/>
      <c r="J159" s="782"/>
      <c r="K159" s="759"/>
      <c r="L159" s="780"/>
      <c r="M159" s="779"/>
      <c r="N159" s="760"/>
    </row>
    <row r="160" spans="1:14" s="212" customFormat="1">
      <c r="A160" s="784" t="s">
        <v>1475</v>
      </c>
      <c r="B160" s="780"/>
      <c r="C160" s="780"/>
      <c r="D160" s="790">
        <f>WH!F96</f>
        <v>0</v>
      </c>
      <c r="E160" s="780" t="s">
        <v>1474</v>
      </c>
      <c r="F160" s="780"/>
      <c r="G160" s="780"/>
      <c r="H160" s="782"/>
      <c r="I160" s="783"/>
      <c r="J160" s="782"/>
      <c r="K160" s="759"/>
      <c r="L160" s="780"/>
      <c r="M160" s="779"/>
      <c r="N160" s="760"/>
    </row>
    <row r="161" spans="1:14" s="212" customFormat="1">
      <c r="A161" s="784"/>
      <c r="B161" s="780"/>
      <c r="C161" s="780"/>
      <c r="D161" s="780"/>
      <c r="E161" s="780"/>
      <c r="F161" s="780"/>
      <c r="G161" s="780"/>
      <c r="H161" s="782"/>
      <c r="I161" s="783"/>
      <c r="J161" s="782"/>
      <c r="K161" s="759"/>
      <c r="L161" s="780"/>
      <c r="M161" s="779"/>
      <c r="N161" s="760"/>
    </row>
    <row r="162" spans="1:14">
      <c r="A162" s="784"/>
      <c r="B162" s="780"/>
      <c r="C162" s="780"/>
      <c r="D162" s="780"/>
      <c r="E162" s="780"/>
      <c r="F162" s="780"/>
      <c r="G162" s="780"/>
      <c r="H162" s="785" t="s">
        <v>783</v>
      </c>
      <c r="I162" s="785" t="s">
        <v>784</v>
      </c>
      <c r="J162" s="782"/>
      <c r="K162" s="785" t="s">
        <v>1429</v>
      </c>
      <c r="L162" s="780"/>
      <c r="M162" s="779"/>
      <c r="N162" s="760"/>
    </row>
    <row r="163" spans="1:14">
      <c r="A163" s="784" t="s">
        <v>711</v>
      </c>
      <c r="B163" s="780"/>
      <c r="C163" s="780"/>
      <c r="D163" s="780"/>
      <c r="E163" s="780"/>
      <c r="F163" s="780"/>
      <c r="G163" s="780"/>
      <c r="H163" s="761" t="s">
        <v>786</v>
      </c>
      <c r="I163" s="761" t="s">
        <v>791</v>
      </c>
      <c r="J163" s="785"/>
      <c r="K163" s="793" t="s">
        <v>786</v>
      </c>
      <c r="L163" s="780"/>
      <c r="M163" s="779"/>
      <c r="N163" s="760"/>
    </row>
    <row r="164" spans="1:14">
      <c r="A164" s="784" t="s">
        <v>713</v>
      </c>
      <c r="B164" s="780" t="s">
        <v>714</v>
      </c>
      <c r="C164" s="780"/>
      <c r="D164" s="780" t="str">
        <f>IF(ISBLANK('ER1'!D39),"-",'ER1'!D39)</f>
        <v xml:space="preserve"> </v>
      </c>
      <c r="E164" s="780"/>
      <c r="F164" s="780"/>
      <c r="G164" s="780"/>
      <c r="H164" s="761" t="s">
        <v>1428</v>
      </c>
      <c r="I164" s="761" t="s">
        <v>701</v>
      </c>
      <c r="J164" s="785"/>
      <c r="K164" s="761" t="s">
        <v>640</v>
      </c>
      <c r="L164" s="780"/>
      <c r="M164" s="779"/>
      <c r="N164" s="760"/>
    </row>
    <row r="165" spans="1:14">
      <c r="A165" s="784"/>
      <c r="B165" s="780" t="s">
        <v>739</v>
      </c>
      <c r="C165" s="780"/>
      <c r="D165" s="780"/>
      <c r="E165" s="780"/>
      <c r="F165" s="780"/>
      <c r="G165" s="780"/>
      <c r="H165" s="782">
        <f>'ER1'!H40</f>
        <v>2.08</v>
      </c>
      <c r="I165" s="783">
        <f>'ER1'!I40</f>
        <v>0.40899999999999997</v>
      </c>
      <c r="J165" s="782"/>
      <c r="K165" s="792">
        <f>'ER1'!F61</f>
        <v>0</v>
      </c>
      <c r="L165" s="780"/>
      <c r="M165" s="779"/>
      <c r="N165" s="760"/>
    </row>
    <row r="166" spans="1:14">
      <c r="A166" s="784"/>
      <c r="B166" s="780" t="s">
        <v>1427</v>
      </c>
      <c r="C166" s="780"/>
      <c r="D166" s="780"/>
      <c r="E166" s="780"/>
      <c r="F166" s="780"/>
      <c r="G166" s="780"/>
      <c r="H166" s="782">
        <f>'ER1'!H41</f>
        <v>0</v>
      </c>
      <c r="I166" s="783">
        <f>'ER1'!I41</f>
        <v>0</v>
      </c>
      <c r="J166" s="782"/>
      <c r="K166" s="792">
        <f>'ER1'!F62</f>
        <v>0</v>
      </c>
      <c r="L166" s="780"/>
      <c r="M166" s="779"/>
      <c r="N166" s="760"/>
    </row>
    <row r="167" spans="1:14">
      <c r="A167" s="784" t="s">
        <v>719</v>
      </c>
      <c r="B167" s="780" t="s">
        <v>714</v>
      </c>
      <c r="C167" s="780"/>
      <c r="D167" s="780" t="str">
        <f>IF(ISBLANK('ER1'!D42),"-",'ER1'!D42)</f>
        <v>-</v>
      </c>
      <c r="E167" s="780"/>
      <c r="F167" s="780"/>
      <c r="G167" s="780"/>
      <c r="H167" s="782" t="s">
        <v>2</v>
      </c>
      <c r="I167" s="783" t="s">
        <v>2</v>
      </c>
      <c r="J167" s="782"/>
      <c r="K167" s="792"/>
      <c r="L167" s="780"/>
      <c r="M167" s="779"/>
      <c r="N167" s="760"/>
    </row>
    <row r="168" spans="1:14">
      <c r="A168" s="784"/>
      <c r="B168" s="780" t="s">
        <v>739</v>
      </c>
      <c r="C168" s="780"/>
      <c r="D168" s="780"/>
      <c r="E168" s="780"/>
      <c r="F168" s="780"/>
      <c r="G168" s="780"/>
      <c r="H168" s="782">
        <f>'ER1'!H43</f>
        <v>0</v>
      </c>
      <c r="I168" s="783">
        <f>'ER1'!I43</f>
        <v>0</v>
      </c>
      <c r="J168" s="782"/>
      <c r="K168" s="792">
        <f>'ER1'!F63</f>
        <v>0</v>
      </c>
      <c r="L168" s="780"/>
      <c r="M168" s="779"/>
      <c r="N168" s="760"/>
    </row>
    <row r="169" spans="1:14">
      <c r="A169" s="784"/>
      <c r="B169" s="780" t="s">
        <v>1427</v>
      </c>
      <c r="C169" s="780"/>
      <c r="D169" s="780"/>
      <c r="E169" s="780"/>
      <c r="F169" s="780"/>
      <c r="G169" s="780"/>
      <c r="H169" s="782">
        <f>'ER1'!H44</f>
        <v>0</v>
      </c>
      <c r="I169" s="783">
        <f>'ER1'!I44</f>
        <v>0</v>
      </c>
      <c r="J169" s="782"/>
      <c r="K169" s="792">
        <f>'ER1'!F64</f>
        <v>0</v>
      </c>
      <c r="L169" s="780"/>
      <c r="M169" s="779"/>
      <c r="N169" s="760"/>
    </row>
    <row r="170" spans="1:14">
      <c r="A170" s="784" t="s">
        <v>723</v>
      </c>
      <c r="B170" s="780" t="s">
        <v>714</v>
      </c>
      <c r="C170" s="780"/>
      <c r="D170" s="780" t="str">
        <f>IF(ISBLANK('ER1'!D45),"-",'ER1'!D45)</f>
        <v>-</v>
      </c>
      <c r="E170" s="780"/>
      <c r="F170" s="780"/>
      <c r="G170" s="780"/>
      <c r="H170" s="782" t="s">
        <v>2</v>
      </c>
      <c r="I170" s="783" t="s">
        <v>2</v>
      </c>
      <c r="J170" s="782"/>
      <c r="K170" s="792"/>
      <c r="L170" s="780"/>
      <c r="M170" s="779"/>
      <c r="N170" s="760"/>
    </row>
    <row r="171" spans="1:14">
      <c r="A171" s="784"/>
      <c r="B171" s="780" t="s">
        <v>739</v>
      </c>
      <c r="C171" s="780"/>
      <c r="D171" s="780"/>
      <c r="E171" s="780"/>
      <c r="F171" s="780"/>
      <c r="G171" s="780"/>
      <c r="H171" s="782">
        <f>'ER1'!H46</f>
        <v>0</v>
      </c>
      <c r="I171" s="783">
        <f>'ER1'!I46</f>
        <v>0</v>
      </c>
      <c r="J171" s="782"/>
      <c r="K171" s="792">
        <f>'ER1'!F65</f>
        <v>0</v>
      </c>
      <c r="L171" s="780"/>
      <c r="M171" s="779"/>
      <c r="N171" s="760"/>
    </row>
    <row r="172" spans="1:14">
      <c r="A172" s="784"/>
      <c r="B172" s="780" t="s">
        <v>1427</v>
      </c>
      <c r="C172" s="780"/>
      <c r="D172" s="780"/>
      <c r="E172" s="780"/>
      <c r="F172" s="780"/>
      <c r="G172" s="780"/>
      <c r="H172" s="782">
        <f>'ER1'!H47</f>
        <v>0</v>
      </c>
      <c r="I172" s="783">
        <f>'ER1'!I47</f>
        <v>0</v>
      </c>
      <c r="J172" s="782"/>
      <c r="K172" s="792">
        <f>'ER1'!F66</f>
        <v>0</v>
      </c>
      <c r="L172" s="780"/>
      <c r="M172" s="779"/>
      <c r="N172" s="760"/>
    </row>
    <row r="173" spans="1:14">
      <c r="A173" s="780"/>
      <c r="B173" s="780"/>
      <c r="C173" s="780"/>
      <c r="D173" s="780"/>
      <c r="E173" s="780"/>
      <c r="F173" s="780"/>
      <c r="G173" s="780"/>
      <c r="H173" s="780"/>
      <c r="I173" s="780"/>
      <c r="J173" s="780"/>
      <c r="K173" s="780"/>
      <c r="L173" s="780"/>
      <c r="M173" s="779"/>
      <c r="N173" s="760"/>
    </row>
    <row r="174" spans="1:14">
      <c r="A174" s="760"/>
      <c r="B174" s="760"/>
      <c r="C174" s="760"/>
      <c r="D174" s="760"/>
      <c r="E174" s="760"/>
      <c r="F174" s="760"/>
      <c r="G174" s="760"/>
      <c r="H174" s="760"/>
      <c r="I174" s="760"/>
      <c r="J174" s="760"/>
      <c r="K174" s="760"/>
      <c r="L174" s="760"/>
      <c r="M174" s="760"/>
      <c r="N174" s="760"/>
    </row>
    <row r="175" spans="1:14">
      <c r="A175" s="764" t="s">
        <v>767</v>
      </c>
      <c r="B175" s="760"/>
      <c r="C175" s="760"/>
      <c r="D175" s="760"/>
      <c r="E175" s="760"/>
      <c r="F175" s="760"/>
      <c r="G175" s="760" t="str">
        <f>IF(I144=1,"Not applicable",":")</f>
        <v>Not applicable</v>
      </c>
      <c r="H175" s="760"/>
      <c r="I175" s="760"/>
      <c r="J175" s="760"/>
      <c r="K175" s="760"/>
      <c r="L175" s="760"/>
      <c r="M175" s="760"/>
      <c r="N175" s="760"/>
    </row>
    <row r="176" spans="1:14">
      <c r="A176" s="789" t="s">
        <v>1436</v>
      </c>
      <c r="B176" s="788"/>
      <c r="C176" s="788"/>
      <c r="D176" s="788"/>
      <c r="E176" s="788"/>
      <c r="F176" s="788"/>
      <c r="G176" s="788"/>
      <c r="H176" s="788"/>
      <c r="I176" s="788"/>
      <c r="J176" s="788"/>
      <c r="K176" s="788"/>
      <c r="L176" s="788"/>
      <c r="M176" s="787"/>
      <c r="N176" s="760"/>
    </row>
    <row r="177" spans="1:14">
      <c r="A177" s="784" t="s">
        <v>1435</v>
      </c>
      <c r="B177" s="780"/>
      <c r="C177" s="780"/>
      <c r="D177" s="780"/>
      <c r="E177" s="780"/>
      <c r="F177" s="780"/>
      <c r="G177" s="780"/>
      <c r="H177" s="780"/>
      <c r="I177" s="780"/>
      <c r="J177" s="780"/>
      <c r="K177" s="780"/>
      <c r="L177" s="785">
        <f>'ER2'!K6</f>
        <v>0</v>
      </c>
      <c r="M177" s="779"/>
      <c r="N177" s="760"/>
    </row>
    <row r="178" spans="1:14">
      <c r="A178" s="784" t="s">
        <v>1434</v>
      </c>
      <c r="B178" s="780"/>
      <c r="C178" s="780"/>
      <c r="D178" s="780"/>
      <c r="E178" s="780"/>
      <c r="F178" s="780"/>
      <c r="G178" s="780"/>
      <c r="H178" s="780"/>
      <c r="I178" s="780"/>
      <c r="J178" s="780"/>
      <c r="K178" s="780"/>
      <c r="L178" s="785">
        <f>'ER2'!K7</f>
        <v>0</v>
      </c>
      <c r="M178" s="779"/>
      <c r="N178" s="760"/>
    </row>
    <row r="179" spans="1:14">
      <c r="A179" s="784"/>
      <c r="B179" s="780"/>
      <c r="C179" s="780"/>
      <c r="D179" s="780"/>
      <c r="E179" s="780"/>
      <c r="F179" s="780"/>
      <c r="G179" s="780"/>
      <c r="H179" s="780"/>
      <c r="I179" s="780"/>
      <c r="J179" s="780"/>
      <c r="K179" s="780"/>
      <c r="L179" s="785"/>
      <c r="M179" s="779"/>
      <c r="N179" s="760"/>
    </row>
    <row r="180" spans="1:14">
      <c r="A180" s="786" t="s">
        <v>772</v>
      </c>
      <c r="B180" s="780"/>
      <c r="C180" s="780"/>
      <c r="D180" s="780"/>
      <c r="E180" s="780"/>
      <c r="F180" s="780"/>
      <c r="G180" s="780"/>
      <c r="H180" s="780"/>
      <c r="I180" s="780"/>
      <c r="J180" s="780"/>
      <c r="K180" s="780"/>
      <c r="L180" s="785"/>
      <c r="M180" s="779"/>
      <c r="N180" s="760"/>
    </row>
    <row r="181" spans="1:14">
      <c r="A181" s="784" t="s">
        <v>773</v>
      </c>
      <c r="B181" s="780"/>
      <c r="C181" s="780"/>
      <c r="D181" s="780"/>
      <c r="E181" s="780"/>
      <c r="F181" s="780"/>
      <c r="G181" s="780"/>
      <c r="H181" s="785" t="str">
        <f>'ER2'!G11</f>
        <v>Yes</v>
      </c>
      <c r="I181" s="780"/>
      <c r="J181" s="780"/>
      <c r="K181" s="780"/>
      <c r="L181" s="785"/>
      <c r="M181" s="779"/>
      <c r="N181" s="760"/>
    </row>
    <row r="182" spans="1:14">
      <c r="A182" s="784" t="s">
        <v>777</v>
      </c>
      <c r="B182" s="780"/>
      <c r="C182" s="780"/>
      <c r="D182" s="780"/>
      <c r="E182" s="780"/>
      <c r="F182" s="780"/>
      <c r="G182" s="780"/>
      <c r="H182" s="785">
        <f>'ER2'!H16</f>
        <v>0</v>
      </c>
      <c r="I182" s="780"/>
      <c r="J182" s="780"/>
      <c r="K182" s="780"/>
      <c r="L182" s="785"/>
      <c r="M182" s="779"/>
      <c r="N182" s="760"/>
    </row>
    <row r="183" spans="1:14">
      <c r="A183" s="784" t="s">
        <v>778</v>
      </c>
      <c r="B183" s="780"/>
      <c r="C183" s="780"/>
      <c r="D183" s="780"/>
      <c r="E183" s="780"/>
      <c r="F183" s="780"/>
      <c r="G183" s="780"/>
      <c r="H183" s="785">
        <f>'ER2'!H17</f>
        <v>0</v>
      </c>
      <c r="I183" s="780"/>
      <c r="J183" s="780"/>
      <c r="K183" s="780"/>
      <c r="L183" s="785"/>
      <c r="M183" s="779"/>
      <c r="N183" s="760"/>
    </row>
    <row r="184" spans="1:14">
      <c r="A184" s="786" t="s">
        <v>781</v>
      </c>
      <c r="B184" s="780"/>
      <c r="C184" s="780"/>
      <c r="D184" s="780"/>
      <c r="E184" s="780"/>
      <c r="F184" s="780"/>
      <c r="G184" s="780"/>
      <c r="H184" s="785"/>
      <c r="I184" s="780"/>
      <c r="J184" s="780"/>
      <c r="K184" s="780"/>
      <c r="L184" s="785"/>
      <c r="M184" s="779"/>
      <c r="N184" s="760"/>
    </row>
    <row r="185" spans="1:14">
      <c r="A185" s="784"/>
      <c r="B185" s="762" t="s">
        <v>1433</v>
      </c>
      <c r="C185" s="780"/>
      <c r="D185" s="780"/>
      <c r="E185" s="780"/>
      <c r="F185" s="780"/>
      <c r="G185" s="780"/>
      <c r="H185" s="785"/>
      <c r="I185" s="780"/>
      <c r="J185" s="780"/>
      <c r="K185" s="780"/>
      <c r="L185" s="785"/>
      <c r="M185" s="779"/>
      <c r="N185" s="760"/>
    </row>
    <row r="186" spans="1:14">
      <c r="A186" s="784"/>
      <c r="B186" s="762"/>
      <c r="C186" s="780"/>
      <c r="D186" s="780"/>
      <c r="E186" s="780"/>
      <c r="F186" s="780"/>
      <c r="G186" s="780"/>
      <c r="H186" s="785"/>
      <c r="I186" s="780"/>
      <c r="J186" s="780"/>
      <c r="K186" s="780"/>
      <c r="L186" s="785"/>
      <c r="M186" s="779"/>
      <c r="N186" s="760"/>
    </row>
    <row r="187" spans="1:14">
      <c r="A187" s="784"/>
      <c r="B187" s="762" t="s">
        <v>788</v>
      </c>
      <c r="C187" s="780"/>
      <c r="D187" s="780" t="s">
        <v>698</v>
      </c>
      <c r="E187" s="780"/>
      <c r="F187" s="780"/>
      <c r="G187" s="780"/>
      <c r="H187" s="780" t="s">
        <v>789</v>
      </c>
      <c r="I187" s="780" t="s">
        <v>1432</v>
      </c>
      <c r="J187" s="780"/>
      <c r="K187" s="780"/>
      <c r="L187" s="785"/>
      <c r="M187" s="779"/>
      <c r="N187" s="760"/>
    </row>
    <row r="188" spans="1:14">
      <c r="A188" s="784"/>
      <c r="B188" s="762"/>
      <c r="C188" s="780"/>
      <c r="D188" s="780"/>
      <c r="E188" s="780"/>
      <c r="F188" s="780"/>
      <c r="G188" s="780"/>
      <c r="H188" s="780" t="s">
        <v>670</v>
      </c>
      <c r="I188" s="780" t="s">
        <v>1431</v>
      </c>
      <c r="J188" s="780"/>
      <c r="K188" s="780"/>
      <c r="L188" s="785"/>
      <c r="M188" s="779"/>
      <c r="N188" s="760"/>
    </row>
    <row r="189" spans="1:14">
      <c r="A189" s="784"/>
      <c r="B189" s="762" t="str">
        <f>'ER2'!A24</f>
        <v>Central Boiler</v>
      </c>
      <c r="C189" s="780"/>
      <c r="D189" s="780" t="str">
        <f>'ER2'!C24</f>
        <v>mains gas</v>
      </c>
      <c r="E189" s="780"/>
      <c r="F189" s="780"/>
      <c r="G189" s="780"/>
      <c r="H189" s="785">
        <f>'ER2'!H24</f>
        <v>0</v>
      </c>
      <c r="I189" s="780">
        <f>'ER2'!J24</f>
        <v>0</v>
      </c>
      <c r="J189" s="780"/>
      <c r="K189" s="780"/>
      <c r="L189" s="785"/>
      <c r="M189" s="779"/>
      <c r="N189" s="760"/>
    </row>
    <row r="190" spans="1:14">
      <c r="A190" s="784"/>
      <c r="B190" s="762" t="str">
        <f>'ER2'!A25</f>
        <v>Central Boiler</v>
      </c>
      <c r="C190" s="780"/>
      <c r="D190" s="780" t="str">
        <f>'ER2'!C25</f>
        <v>wood pellets - bulk supply, for main htg</v>
      </c>
      <c r="E190" s="780"/>
      <c r="F190" s="780"/>
      <c r="G190" s="780"/>
      <c r="H190" s="785">
        <f>'ER2'!H25</f>
        <v>0</v>
      </c>
      <c r="I190" s="780">
        <f>'ER2'!J25</f>
        <v>0</v>
      </c>
      <c r="J190" s="780"/>
      <c r="K190" s="780"/>
      <c r="L190" s="785"/>
      <c r="M190" s="779"/>
      <c r="N190" s="760"/>
    </row>
    <row r="191" spans="1:14">
      <c r="A191" s="784"/>
      <c r="B191" s="762" t="str">
        <f>'ER2'!A26</f>
        <v>Heat Pump</v>
      </c>
      <c r="C191" s="780"/>
      <c r="D191" s="780" t="str">
        <f>'ER2'!C26</f>
        <v>electricity</v>
      </c>
      <c r="E191" s="780"/>
      <c r="F191" s="780"/>
      <c r="G191" s="780"/>
      <c r="H191" s="785">
        <f>'ER2'!H26</f>
        <v>0</v>
      </c>
      <c r="I191" s="780">
        <f>'ER2'!J26</f>
        <v>0</v>
      </c>
      <c r="J191" s="780"/>
      <c r="K191" s="780"/>
      <c r="L191" s="785"/>
      <c r="M191" s="779"/>
      <c r="N191" s="760"/>
    </row>
    <row r="192" spans="1:14" s="212" customFormat="1">
      <c r="A192" s="784"/>
      <c r="B192" s="762" t="str">
        <f>'ER2'!A27</f>
        <v>Heat Pump</v>
      </c>
      <c r="C192" s="780"/>
      <c r="D192" s="780" t="str">
        <f>'ER2'!C27</f>
        <v>electricity</v>
      </c>
      <c r="E192" s="780"/>
      <c r="F192" s="780"/>
      <c r="G192" s="780"/>
      <c r="H192" s="785">
        <f>'ER2'!H27</f>
        <v>0</v>
      </c>
      <c r="I192" s="780">
        <f>'ER2'!J27</f>
        <v>0</v>
      </c>
      <c r="J192" s="780"/>
      <c r="K192" s="780"/>
      <c r="L192" s="785"/>
      <c r="M192" s="779"/>
      <c r="N192" s="760"/>
    </row>
    <row r="193" spans="1:14">
      <c r="A193" s="784"/>
      <c r="B193" s="762" t="s">
        <v>794</v>
      </c>
      <c r="C193" s="780"/>
      <c r="D193" s="780"/>
      <c r="E193" s="780"/>
      <c r="F193" s="780"/>
      <c r="G193" s="780"/>
      <c r="H193" s="785"/>
      <c r="I193" s="780">
        <f>'ER2'!J28</f>
        <v>0</v>
      </c>
      <c r="J193" s="780"/>
      <c r="K193" s="780"/>
      <c r="L193" s="785"/>
      <c r="M193" s="779"/>
      <c r="N193" s="760"/>
    </row>
    <row r="194" spans="1:14">
      <c r="A194" s="786" t="s">
        <v>797</v>
      </c>
      <c r="B194" s="780"/>
      <c r="C194" s="780"/>
      <c r="D194" s="780"/>
      <c r="E194" s="780"/>
      <c r="F194" s="780"/>
      <c r="G194" s="780"/>
      <c r="H194" s="780"/>
      <c r="I194" s="780"/>
      <c r="J194" s="780"/>
      <c r="K194" s="780"/>
      <c r="L194" s="785"/>
      <c r="M194" s="779"/>
      <c r="N194" s="760"/>
    </row>
    <row r="195" spans="1:14">
      <c r="A195" s="784"/>
      <c r="B195" s="762" t="s">
        <v>1430</v>
      </c>
      <c r="C195" s="780"/>
      <c r="D195" s="780"/>
      <c r="E195" s="780"/>
      <c r="F195" s="780"/>
      <c r="G195" s="780"/>
      <c r="H195" s="780"/>
      <c r="I195" s="780"/>
      <c r="J195" s="780"/>
      <c r="K195" s="780"/>
      <c r="L195" s="785"/>
      <c r="M195" s="779"/>
      <c r="N195" s="760"/>
    </row>
    <row r="196" spans="1:14">
      <c r="A196" s="784"/>
      <c r="B196" s="780" t="s">
        <v>661</v>
      </c>
      <c r="C196" s="780"/>
      <c r="D196" s="780"/>
      <c r="E196" s="780"/>
      <c r="F196" s="780"/>
      <c r="G196" s="780" t="str">
        <f>'ER2'!G33</f>
        <v>District Heating</v>
      </c>
      <c r="H196" s="780"/>
      <c r="I196" s="780"/>
      <c r="J196" s="780"/>
      <c r="K196" s="785">
        <f>'ER2'!J33</f>
        <v>2</v>
      </c>
      <c r="L196" s="785"/>
      <c r="M196" s="779"/>
      <c r="N196" s="760"/>
    </row>
    <row r="197" spans="1:14">
      <c r="A197" s="784"/>
      <c r="B197" s="780" t="s">
        <v>799</v>
      </c>
      <c r="C197" s="780"/>
      <c r="D197" s="780"/>
      <c r="E197" s="780"/>
      <c r="F197" s="780"/>
      <c r="G197" s="780"/>
      <c r="H197" s="780"/>
      <c r="I197" s="780"/>
      <c r="J197" s="780"/>
      <c r="K197" s="780"/>
      <c r="L197" s="785"/>
      <c r="M197" s="779"/>
      <c r="N197" s="760"/>
    </row>
    <row r="198" spans="1:14">
      <c r="A198" s="784"/>
      <c r="B198" s="780"/>
      <c r="C198" s="780" t="s">
        <v>800</v>
      </c>
      <c r="D198" s="780"/>
      <c r="E198" s="780"/>
      <c r="F198" s="780"/>
      <c r="G198" s="780"/>
      <c r="H198" s="780"/>
      <c r="I198" s="780"/>
      <c r="J198" s="780"/>
      <c r="K198" s="780"/>
      <c r="L198" s="785">
        <f>'ER2'!L35</f>
        <v>0</v>
      </c>
      <c r="M198" s="779"/>
      <c r="N198" s="760"/>
    </row>
    <row r="199" spans="1:14">
      <c r="A199" s="784"/>
      <c r="B199" s="780"/>
      <c r="C199" s="780" t="s">
        <v>801</v>
      </c>
      <c r="D199" s="780"/>
      <c r="E199" s="780"/>
      <c r="F199" s="780"/>
      <c r="G199" s="780"/>
      <c r="H199" s="780"/>
      <c r="I199" s="780"/>
      <c r="J199" s="780"/>
      <c r="K199" s="780"/>
      <c r="L199" s="785">
        <f>'ER2'!L36</f>
        <v>0</v>
      </c>
      <c r="M199" s="779"/>
      <c r="N199" s="760"/>
    </row>
    <row r="200" spans="1:14">
      <c r="A200" s="784"/>
      <c r="B200" s="780"/>
      <c r="C200" s="780" t="s">
        <v>802</v>
      </c>
      <c r="D200" s="780"/>
      <c r="E200" s="780"/>
      <c r="F200" s="780"/>
      <c r="G200" s="780" t="str">
        <f>'ER2'!G37</f>
        <v>mains gas</v>
      </c>
      <c r="H200" s="780"/>
      <c r="I200" s="780"/>
      <c r="J200" s="780"/>
      <c r="K200" s="780"/>
      <c r="L200" s="785"/>
      <c r="M200" s="779"/>
      <c r="N200" s="760"/>
    </row>
    <row r="201" spans="1:14">
      <c r="A201" s="784"/>
      <c r="B201" s="780"/>
      <c r="C201" s="780"/>
      <c r="D201" s="780"/>
      <c r="E201" s="780"/>
      <c r="F201" s="780"/>
      <c r="G201" s="780"/>
      <c r="H201" s="780"/>
      <c r="I201" s="780"/>
      <c r="J201" s="780"/>
      <c r="K201" s="780"/>
      <c r="L201" s="785"/>
      <c r="M201" s="779"/>
      <c r="N201" s="760"/>
    </row>
    <row r="202" spans="1:14" s="212" customFormat="1">
      <c r="A202" s="784"/>
      <c r="B202" s="780" t="s">
        <v>1471</v>
      </c>
      <c r="C202" s="780"/>
      <c r="D202" s="780"/>
      <c r="E202" s="780"/>
      <c r="F202" s="780"/>
      <c r="G202" s="780"/>
      <c r="H202" s="780"/>
      <c r="I202" s="780"/>
      <c r="J202" s="780"/>
      <c r="K202" s="780"/>
      <c r="L202" s="785"/>
      <c r="M202" s="779"/>
      <c r="N202" s="760"/>
    </row>
    <row r="203" spans="1:14" s="212" customFormat="1">
      <c r="A203" s="784"/>
      <c r="B203" s="780"/>
      <c r="C203" s="110" t="s">
        <v>807</v>
      </c>
      <c r="E203" s="780"/>
      <c r="F203" s="780"/>
      <c r="G203" s="780">
        <f>'ER2'!J44</f>
        <v>0</v>
      </c>
      <c r="H203" s="780"/>
      <c r="I203" s="780"/>
      <c r="J203" s="780"/>
      <c r="K203" s="780"/>
      <c r="L203" s="785"/>
      <c r="M203" s="779"/>
      <c r="N203" s="760"/>
    </row>
    <row r="204" spans="1:14" s="212" customFormat="1">
      <c r="A204" s="784"/>
      <c r="B204" s="780"/>
      <c r="C204" s="110" t="s">
        <v>808</v>
      </c>
      <c r="D204" s="780"/>
      <c r="E204" s="780"/>
      <c r="F204" s="780"/>
      <c r="G204" s="780">
        <f>'ER2'!K44</f>
        <v>0</v>
      </c>
      <c r="H204" s="780"/>
      <c r="I204" s="780"/>
      <c r="J204" s="780"/>
      <c r="K204" s="780"/>
      <c r="L204" s="785"/>
      <c r="M204" s="779"/>
      <c r="N204" s="760"/>
    </row>
    <row r="205" spans="1:14" s="212" customFormat="1">
      <c r="A205" s="784"/>
      <c r="B205" s="780"/>
      <c r="C205" s="780" t="s">
        <v>1472</v>
      </c>
      <c r="D205" s="780"/>
      <c r="E205" s="780"/>
      <c r="F205" s="780"/>
      <c r="G205" s="780">
        <f>'ER2'!L44</f>
        <v>0</v>
      </c>
      <c r="H205" s="780"/>
      <c r="I205" s="780"/>
      <c r="J205" s="780"/>
      <c r="K205" s="780"/>
      <c r="L205" s="785"/>
      <c r="M205" s="779"/>
      <c r="N205" s="760"/>
    </row>
    <row r="206" spans="1:14" s="212" customFormat="1">
      <c r="A206" s="784"/>
      <c r="B206" s="780"/>
      <c r="C206" s="780"/>
      <c r="D206" s="780"/>
      <c r="E206" s="780"/>
      <c r="F206" s="780"/>
      <c r="G206" s="780"/>
      <c r="H206" s="780"/>
      <c r="I206" s="780"/>
      <c r="J206" s="780"/>
      <c r="K206" s="780"/>
      <c r="L206" s="785"/>
      <c r="M206" s="779"/>
      <c r="N206" s="760"/>
    </row>
    <row r="207" spans="1:14">
      <c r="A207" s="786" t="s">
        <v>697</v>
      </c>
      <c r="B207" s="780"/>
      <c r="C207" s="780"/>
      <c r="D207" s="780" t="s">
        <v>698</v>
      </c>
      <c r="E207" s="780"/>
      <c r="F207" s="780"/>
      <c r="G207" s="780"/>
      <c r="H207" s="785"/>
      <c r="I207" s="785"/>
      <c r="J207" s="785"/>
      <c r="K207" s="780"/>
      <c r="L207" s="785"/>
      <c r="M207" s="779"/>
      <c r="N207" s="760"/>
    </row>
    <row r="208" spans="1:14">
      <c r="A208" s="784" t="s">
        <v>706</v>
      </c>
      <c r="B208" s="780"/>
      <c r="C208" s="780"/>
      <c r="D208" s="780" t="str">
        <f>'ER2'!D56</f>
        <v>-</v>
      </c>
      <c r="E208" s="780"/>
      <c r="F208" s="780"/>
      <c r="G208" s="780"/>
      <c r="H208" s="782"/>
      <c r="I208" s="783"/>
      <c r="J208" s="782"/>
      <c r="K208" s="781"/>
      <c r="L208" s="780"/>
      <c r="M208" s="779"/>
      <c r="N208" s="760"/>
    </row>
    <row r="209" spans="1:14" s="212" customFormat="1">
      <c r="A209" s="784" t="s">
        <v>1473</v>
      </c>
      <c r="B209" s="780"/>
      <c r="C209" s="780"/>
      <c r="D209" s="791">
        <f>'ER2'!E81</f>
        <v>0</v>
      </c>
      <c r="E209" s="780" t="s">
        <v>392</v>
      </c>
      <c r="F209" s="780"/>
      <c r="G209" s="780"/>
      <c r="H209" s="782"/>
      <c r="I209" s="783"/>
      <c r="J209" s="782"/>
      <c r="K209" s="781"/>
      <c r="L209" s="780"/>
      <c r="M209" s="779"/>
      <c r="N209" s="760"/>
    </row>
    <row r="210" spans="1:14" s="212" customFormat="1">
      <c r="A210" s="784" t="s">
        <v>877</v>
      </c>
      <c r="B210" s="780"/>
      <c r="C210" s="780"/>
      <c r="D210" s="790">
        <f>WH!F96</f>
        <v>0</v>
      </c>
      <c r="E210" s="780" t="s">
        <v>392</v>
      </c>
      <c r="F210" s="780"/>
      <c r="G210" s="780"/>
      <c r="H210" s="782"/>
      <c r="I210" s="783"/>
      <c r="J210" s="782"/>
      <c r="K210" s="781"/>
      <c r="L210" s="780"/>
      <c r="M210" s="779"/>
      <c r="N210" s="760"/>
    </row>
    <row r="211" spans="1:14">
      <c r="A211" s="784"/>
      <c r="B211" s="780"/>
      <c r="C211" s="780"/>
      <c r="D211" s="780"/>
      <c r="E211" s="780"/>
      <c r="F211" s="780"/>
      <c r="G211" s="780"/>
      <c r="H211" s="785" t="s">
        <v>783</v>
      </c>
      <c r="I211" s="785" t="s">
        <v>784</v>
      </c>
      <c r="J211" s="782"/>
      <c r="K211" s="781" t="s">
        <v>1429</v>
      </c>
      <c r="L211" s="780"/>
      <c r="M211" s="779"/>
      <c r="N211" s="760"/>
    </row>
    <row r="212" spans="1:14">
      <c r="A212" s="784" t="s">
        <v>711</v>
      </c>
      <c r="B212" s="780"/>
      <c r="C212" s="780"/>
      <c r="D212" s="780"/>
      <c r="E212" s="780"/>
      <c r="F212" s="780"/>
      <c r="G212" s="780"/>
      <c r="H212" s="785" t="s">
        <v>786</v>
      </c>
      <c r="I212" s="785" t="s">
        <v>791</v>
      </c>
      <c r="J212" s="785"/>
      <c r="K212" s="785" t="s">
        <v>786</v>
      </c>
      <c r="L212" s="780"/>
      <c r="M212" s="779"/>
      <c r="N212" s="760"/>
    </row>
    <row r="213" spans="1:14">
      <c r="A213" s="784" t="s">
        <v>713</v>
      </c>
      <c r="B213" s="780" t="s">
        <v>714</v>
      </c>
      <c r="C213" s="780"/>
      <c r="D213" s="780" t="str">
        <f>IF(ISBLANK('ER2'!D62),"-",'ER2'!D62)</f>
        <v>-</v>
      </c>
      <c r="E213" s="780"/>
      <c r="F213" s="780"/>
      <c r="G213" s="780"/>
      <c r="H213" s="785" t="s">
        <v>1428</v>
      </c>
      <c r="I213" s="785" t="s">
        <v>701</v>
      </c>
      <c r="J213" s="785"/>
      <c r="K213" s="785" t="s">
        <v>640</v>
      </c>
      <c r="L213" s="780"/>
      <c r="M213" s="779"/>
      <c r="N213" s="760"/>
    </row>
    <row r="214" spans="1:14">
      <c r="A214" s="784"/>
      <c r="B214" s="780" t="s">
        <v>739</v>
      </c>
      <c r="C214" s="780"/>
      <c r="D214" s="780"/>
      <c r="E214" s="780"/>
      <c r="F214" s="780"/>
      <c r="G214" s="780"/>
      <c r="H214" s="782">
        <f>'ER2'!H63</f>
        <v>0</v>
      </c>
      <c r="I214" s="783">
        <f>'ER2'!I63</f>
        <v>0</v>
      </c>
      <c r="J214" s="782"/>
      <c r="K214" s="781">
        <f>'ER2'!E82</f>
        <v>0</v>
      </c>
      <c r="L214" s="780"/>
      <c r="M214" s="779"/>
      <c r="N214" s="760"/>
    </row>
    <row r="215" spans="1:14">
      <c r="A215" s="784"/>
      <c r="B215" s="780" t="s">
        <v>1427</v>
      </c>
      <c r="C215" s="780"/>
      <c r="D215" s="780"/>
      <c r="E215" s="780"/>
      <c r="F215" s="780"/>
      <c r="G215" s="780"/>
      <c r="H215" s="782">
        <f>'ER2'!H64</f>
        <v>0</v>
      </c>
      <c r="I215" s="783">
        <f>'ER2'!I64</f>
        <v>0</v>
      </c>
      <c r="J215" s="782"/>
      <c r="K215" s="781">
        <f>'ER2'!E83</f>
        <v>0</v>
      </c>
      <c r="L215" s="780"/>
      <c r="M215" s="779"/>
      <c r="N215" s="760"/>
    </row>
    <row r="216" spans="1:14">
      <c r="A216" s="784" t="s">
        <v>719</v>
      </c>
      <c r="B216" s="780" t="s">
        <v>714</v>
      </c>
      <c r="C216" s="780"/>
      <c r="D216" s="780" t="str">
        <f>IF(ISBLANK('ER2'!D65),"-",'ER2'!D65)</f>
        <v>-</v>
      </c>
      <c r="E216" s="780"/>
      <c r="F216" s="780"/>
      <c r="G216" s="780"/>
      <c r="H216" s="782" t="s">
        <v>2</v>
      </c>
      <c r="I216" s="783" t="s">
        <v>2</v>
      </c>
      <c r="J216" s="782"/>
      <c r="K216" s="781" t="s">
        <v>2</v>
      </c>
      <c r="L216" s="780"/>
      <c r="M216" s="779"/>
      <c r="N216" s="760"/>
    </row>
    <row r="217" spans="1:14">
      <c r="A217" s="784"/>
      <c r="B217" s="780" t="s">
        <v>739</v>
      </c>
      <c r="C217" s="780"/>
      <c r="D217" s="780"/>
      <c r="E217" s="780"/>
      <c r="F217" s="780"/>
      <c r="G217" s="780"/>
      <c r="H217" s="782">
        <f>'ER2'!H66</f>
        <v>0</v>
      </c>
      <c r="I217" s="783">
        <f>'ER2'!I66</f>
        <v>0</v>
      </c>
      <c r="J217" s="782"/>
      <c r="K217" s="781">
        <f>'ER2'!E85</f>
        <v>0</v>
      </c>
      <c r="L217" s="780"/>
      <c r="M217" s="779"/>
      <c r="N217" s="760"/>
    </row>
    <row r="218" spans="1:14">
      <c r="A218" s="784"/>
      <c r="B218" s="780" t="s">
        <v>1427</v>
      </c>
      <c r="C218" s="780"/>
      <c r="D218" s="780"/>
      <c r="E218" s="780"/>
      <c r="F218" s="780"/>
      <c r="G218" s="780"/>
      <c r="H218" s="782">
        <f>'ER2'!H67</f>
        <v>0</v>
      </c>
      <c r="I218" s="783">
        <f>'ER2'!I67</f>
        <v>0</v>
      </c>
      <c r="J218" s="782"/>
      <c r="K218" s="781">
        <f>'ER2'!E86</f>
        <v>0</v>
      </c>
      <c r="L218" s="780"/>
      <c r="M218" s="779"/>
      <c r="N218" s="760"/>
    </row>
    <row r="219" spans="1:14">
      <c r="A219" s="784" t="s">
        <v>723</v>
      </c>
      <c r="B219" s="780" t="s">
        <v>714</v>
      </c>
      <c r="C219" s="780"/>
      <c r="D219" s="780" t="str">
        <f>IF(ISBLANK('ER2'!D68),"-",'ER2'!D68)</f>
        <v>-</v>
      </c>
      <c r="E219" s="780"/>
      <c r="F219" s="780"/>
      <c r="G219" s="780"/>
      <c r="H219" s="782" t="s">
        <v>2</v>
      </c>
      <c r="I219" s="783" t="s">
        <v>2</v>
      </c>
      <c r="J219" s="782"/>
      <c r="K219" s="781" t="s">
        <v>2</v>
      </c>
      <c r="L219" s="780"/>
      <c r="M219" s="779"/>
      <c r="N219" s="760"/>
    </row>
    <row r="220" spans="1:14">
      <c r="A220" s="784"/>
      <c r="B220" s="780" t="s">
        <v>739</v>
      </c>
      <c r="C220" s="780"/>
      <c r="D220" s="780"/>
      <c r="E220" s="780"/>
      <c r="F220" s="780"/>
      <c r="G220" s="780"/>
      <c r="H220" s="782">
        <f>'ER2'!H69</f>
        <v>0</v>
      </c>
      <c r="I220" s="783">
        <f>'ER2'!I69</f>
        <v>0</v>
      </c>
      <c r="J220" s="782"/>
      <c r="K220" s="781">
        <f>'ER2'!E88</f>
        <v>0</v>
      </c>
      <c r="L220" s="780"/>
      <c r="M220" s="779"/>
      <c r="N220" s="760"/>
    </row>
    <row r="221" spans="1:14">
      <c r="A221" s="784"/>
      <c r="B221" s="780" t="s">
        <v>1427</v>
      </c>
      <c r="C221" s="780"/>
      <c r="D221" s="780"/>
      <c r="E221" s="780"/>
      <c r="F221" s="780"/>
      <c r="G221" s="780"/>
      <c r="H221" s="782">
        <f>'ER2'!H70</f>
        <v>0</v>
      </c>
      <c r="I221" s="783">
        <f>'ER2'!I70</f>
        <v>0</v>
      </c>
      <c r="J221" s="782"/>
      <c r="K221" s="781">
        <f>'ER2'!E89</f>
        <v>0</v>
      </c>
      <c r="L221" s="780"/>
      <c r="M221" s="779"/>
      <c r="N221" s="760"/>
    </row>
    <row r="222" spans="1:14">
      <c r="A222" s="778"/>
      <c r="B222" s="778"/>
      <c r="C222" s="778"/>
      <c r="D222" s="778"/>
      <c r="E222" s="778"/>
      <c r="F222" s="778"/>
      <c r="G222" s="778"/>
      <c r="H222" s="778"/>
      <c r="I222" s="778"/>
      <c r="J222" s="778"/>
      <c r="K222" s="778"/>
      <c r="L222" s="778"/>
      <c r="M222" s="777"/>
      <c r="N222" s="760"/>
    </row>
    <row r="223" spans="1:14">
      <c r="A223" s="760"/>
      <c r="B223" s="760"/>
      <c r="C223" s="760"/>
      <c r="D223" s="760"/>
      <c r="E223" s="760"/>
      <c r="F223" s="760"/>
      <c r="G223" s="760"/>
      <c r="H223" s="760"/>
      <c r="I223" s="760"/>
      <c r="J223" s="760"/>
      <c r="K223" s="760"/>
      <c r="L223" s="760"/>
      <c r="M223" s="760"/>
      <c r="N223" s="760"/>
    </row>
    <row r="224" spans="1:14">
      <c r="A224" s="764" t="s">
        <v>826</v>
      </c>
      <c r="B224" s="760"/>
      <c r="C224" s="760"/>
      <c r="D224" s="760"/>
      <c r="E224" s="760"/>
      <c r="F224" s="760"/>
      <c r="G224" s="760"/>
      <c r="H224" s="760"/>
      <c r="I224" s="760"/>
      <c r="J224" s="760"/>
      <c r="K224" s="760"/>
      <c r="L224" s="760"/>
      <c r="M224" s="760"/>
      <c r="N224" s="760"/>
    </row>
    <row r="225" spans="1:14" ht="41.25">
      <c r="A225" s="760"/>
      <c r="B225" s="760"/>
      <c r="C225" s="760"/>
      <c r="D225" s="760"/>
      <c r="E225" s="776" t="s">
        <v>727</v>
      </c>
      <c r="F225" s="776" t="s">
        <v>728</v>
      </c>
      <c r="G225" s="776" t="s">
        <v>827</v>
      </c>
      <c r="H225" s="776"/>
      <c r="I225" s="760"/>
      <c r="J225" s="760"/>
      <c r="K225" s="760"/>
      <c r="L225" s="760"/>
      <c r="M225" s="760"/>
      <c r="N225" s="760"/>
    </row>
    <row r="226" spans="1:14">
      <c r="A226" s="760"/>
      <c r="B226" s="760"/>
      <c r="C226" s="760"/>
      <c r="D226" s="760"/>
      <c r="E226" s="766" t="s">
        <v>640</v>
      </c>
      <c r="F226" s="766" t="s">
        <v>640</v>
      </c>
      <c r="G226" s="766" t="s">
        <v>730</v>
      </c>
      <c r="H226" s="766"/>
      <c r="I226" s="760"/>
      <c r="J226" s="760"/>
      <c r="K226" s="760"/>
      <c r="L226" s="760"/>
      <c r="M226" s="760"/>
      <c r="N226" s="760"/>
    </row>
    <row r="227" spans="1:14">
      <c r="A227" s="760" t="s">
        <v>704</v>
      </c>
      <c r="B227" s="760"/>
      <c r="C227" s="760"/>
      <c r="D227" s="760"/>
      <c r="E227" s="775">
        <f>Result!E4</f>
        <v>3089.9822890565615</v>
      </c>
      <c r="F227" s="775">
        <f>Result!F4</f>
        <v>3398.9805179622181</v>
      </c>
      <c r="G227" s="775">
        <f>Result!G4</f>
        <v>627.26640467848199</v>
      </c>
      <c r="H227" s="775"/>
      <c r="I227" s="760"/>
      <c r="J227" s="760"/>
      <c r="K227" s="760"/>
      <c r="L227" s="760"/>
      <c r="M227" s="760"/>
      <c r="N227" s="760"/>
    </row>
    <row r="228" spans="1:14">
      <c r="A228" s="760" t="s">
        <v>706</v>
      </c>
      <c r="B228" s="760"/>
      <c r="C228" s="760"/>
      <c r="D228" s="760"/>
      <c r="E228" s="775">
        <f>Result!E5</f>
        <v>0</v>
      </c>
      <c r="F228" s="775">
        <f>Result!F5</f>
        <v>0</v>
      </c>
      <c r="G228" s="775">
        <f>Result!G5</f>
        <v>0</v>
      </c>
      <c r="H228" s="775"/>
      <c r="I228" s="760"/>
      <c r="J228" s="760"/>
      <c r="K228" s="760"/>
      <c r="L228" s="760"/>
      <c r="M228" s="760"/>
      <c r="N228" s="760"/>
    </row>
    <row r="229" spans="1:14">
      <c r="A229" s="760" t="s">
        <v>707</v>
      </c>
      <c r="B229" s="760"/>
      <c r="C229" s="760"/>
      <c r="D229" s="760"/>
      <c r="E229" s="775">
        <f>Result!E6</f>
        <v>2725.7507665950402</v>
      </c>
      <c r="F229" s="775">
        <f>Result!F6</f>
        <v>2998.3258432545445</v>
      </c>
      <c r="G229" s="775">
        <f>Result!G6</f>
        <v>553.32740561879325</v>
      </c>
      <c r="H229" s="775"/>
      <c r="I229" s="760"/>
      <c r="J229" s="760"/>
      <c r="K229" s="760"/>
      <c r="L229" s="760"/>
      <c r="M229" s="760"/>
      <c r="N229" s="760"/>
    </row>
    <row r="230" spans="1:14">
      <c r="A230" s="760" t="s">
        <v>708</v>
      </c>
      <c r="B230" s="760"/>
      <c r="C230" s="760"/>
      <c r="D230" s="760"/>
      <c r="E230" s="775">
        <f>Result!E7</f>
        <v>0</v>
      </c>
      <c r="F230" s="775">
        <f>Result!F7</f>
        <v>0</v>
      </c>
      <c r="G230" s="775">
        <f>Result!G7</f>
        <v>0</v>
      </c>
      <c r="H230" s="775"/>
      <c r="I230" s="760"/>
      <c r="J230" s="760"/>
      <c r="K230" s="760"/>
      <c r="L230" s="760"/>
      <c r="M230" s="760"/>
      <c r="N230" s="760"/>
    </row>
    <row r="231" spans="1:14">
      <c r="A231" s="760" t="s">
        <v>709</v>
      </c>
      <c r="B231" s="760"/>
      <c r="C231" s="760"/>
      <c r="D231" s="760"/>
      <c r="E231" s="775">
        <f>Result!E8</f>
        <v>97</v>
      </c>
      <c r="F231" s="775">
        <f>Result!F8</f>
        <v>201.76000000000002</v>
      </c>
      <c r="G231" s="775">
        <f>Result!G8</f>
        <v>39.672999999999995</v>
      </c>
      <c r="H231" s="775"/>
      <c r="I231" s="760"/>
      <c r="J231" s="760"/>
      <c r="K231" s="760"/>
      <c r="L231" s="760"/>
      <c r="M231" s="760"/>
      <c r="N231" s="760"/>
    </row>
    <row r="232" spans="1:14">
      <c r="A232" s="760" t="s">
        <v>710</v>
      </c>
      <c r="B232" s="760"/>
      <c r="C232" s="760"/>
      <c r="D232" s="760"/>
      <c r="E232" s="775">
        <f>Result!E9</f>
        <v>246.51445106940128</v>
      </c>
      <c r="F232" s="775">
        <f>Result!F9</f>
        <v>512.75005822435469</v>
      </c>
      <c r="G232" s="775">
        <f>Result!G9</f>
        <v>100.82441048738511</v>
      </c>
      <c r="H232" s="775"/>
      <c r="I232" s="760"/>
      <c r="J232" s="760"/>
      <c r="K232" s="760"/>
      <c r="L232" s="760"/>
      <c r="M232" s="760"/>
      <c r="N232" s="760"/>
    </row>
    <row r="233" spans="1:14">
      <c r="A233" s="760" t="s">
        <v>711</v>
      </c>
      <c r="B233" s="760"/>
      <c r="C233" s="760"/>
      <c r="D233" s="760"/>
      <c r="E233" s="775" t="s">
        <v>2</v>
      </c>
      <c r="F233" s="775" t="s">
        <v>2</v>
      </c>
      <c r="G233" s="775" t="s">
        <v>2</v>
      </c>
      <c r="H233" s="775"/>
      <c r="I233" s="760"/>
      <c r="J233" s="760"/>
      <c r="K233" s="760"/>
      <c r="L233" s="760"/>
      <c r="M233" s="760"/>
      <c r="N233" s="760"/>
    </row>
    <row r="234" spans="1:14" s="212" customFormat="1">
      <c r="A234" s="174" t="s">
        <v>735</v>
      </c>
      <c r="B234" s="760"/>
      <c r="C234" s="760"/>
      <c r="D234" s="760"/>
      <c r="E234" s="775">
        <f>Result!E10</f>
        <v>0</v>
      </c>
      <c r="F234" s="775">
        <f>Result!F10</f>
        <v>0</v>
      </c>
      <c r="G234" s="775">
        <f>Result!G10</f>
        <v>0</v>
      </c>
      <c r="H234" s="775"/>
      <c r="I234" s="760"/>
      <c r="J234" s="760"/>
      <c r="K234" s="760"/>
      <c r="L234" s="760"/>
      <c r="M234" s="760"/>
      <c r="N234" s="760"/>
    </row>
    <row r="235" spans="1:14" s="212" customFormat="1">
      <c r="A235" s="174" t="s">
        <v>736</v>
      </c>
      <c r="B235" s="760"/>
      <c r="C235" s="760"/>
      <c r="D235" s="760"/>
      <c r="E235" s="775">
        <f>Result!E11</f>
        <v>0</v>
      </c>
      <c r="F235" s="775">
        <f>Result!F11</f>
        <v>0</v>
      </c>
      <c r="G235" s="775">
        <f>Result!G11</f>
        <v>0</v>
      </c>
      <c r="H235" s="775"/>
      <c r="I235" s="760"/>
      <c r="J235" s="760"/>
      <c r="K235" s="760"/>
      <c r="L235" s="760"/>
      <c r="M235" s="760"/>
      <c r="N235" s="760"/>
    </row>
    <row r="236" spans="1:14" s="212" customFormat="1">
      <c r="A236" s="174" t="s">
        <v>737</v>
      </c>
      <c r="B236" s="760"/>
      <c r="C236" s="760"/>
      <c r="D236" s="760"/>
      <c r="E236" s="775">
        <f>Result!E12</f>
        <v>-886</v>
      </c>
      <c r="F236" s="775">
        <f>Result!F12</f>
        <v>-1842.88</v>
      </c>
      <c r="G236" s="775">
        <f>Result!G12</f>
        <v>-362.37399999999997</v>
      </c>
      <c r="H236" s="775"/>
      <c r="I236" s="760"/>
      <c r="J236" s="760"/>
      <c r="K236" s="760"/>
      <c r="L236" s="760"/>
      <c r="M236" s="760"/>
      <c r="N236" s="760"/>
    </row>
    <row r="237" spans="1:14">
      <c r="A237" s="769" t="s">
        <v>713</v>
      </c>
      <c r="B237" s="760" t="str">
        <f>Result!B13</f>
        <v xml:space="preserve"> </v>
      </c>
      <c r="C237" s="760"/>
      <c r="D237" s="760"/>
      <c r="E237" s="775">
        <f>Result!E13</f>
        <v>0</v>
      </c>
      <c r="F237" s="775">
        <f>Result!F13</f>
        <v>0</v>
      </c>
      <c r="G237" s="775">
        <f>Result!G13</f>
        <v>0</v>
      </c>
      <c r="H237" s="775"/>
      <c r="I237" s="760"/>
      <c r="J237" s="760"/>
      <c r="K237" s="760"/>
      <c r="L237" s="760"/>
      <c r="M237" s="760"/>
      <c r="N237" s="760"/>
    </row>
    <row r="238" spans="1:14">
      <c r="A238" s="769" t="s">
        <v>719</v>
      </c>
      <c r="B238" s="760" t="str">
        <f>Result!B14</f>
        <v>-</v>
      </c>
      <c r="C238" s="760"/>
      <c r="D238" s="760"/>
      <c r="E238" s="775">
        <f>Result!E14</f>
        <v>0</v>
      </c>
      <c r="F238" s="775">
        <f>Result!F14</f>
        <v>0</v>
      </c>
      <c r="G238" s="775">
        <f>Result!G14</f>
        <v>0</v>
      </c>
      <c r="H238" s="775"/>
      <c r="I238" s="760"/>
      <c r="J238" s="760"/>
      <c r="K238" s="760"/>
      <c r="L238" s="760"/>
      <c r="M238" s="760"/>
      <c r="N238" s="760"/>
    </row>
    <row r="239" spans="1:14">
      <c r="A239" s="769" t="s">
        <v>723</v>
      </c>
      <c r="B239" s="760" t="str">
        <f>Result!B15</f>
        <v>-</v>
      </c>
      <c r="C239" s="760"/>
      <c r="D239" s="760"/>
      <c r="E239" s="775">
        <f>Result!E15</f>
        <v>0</v>
      </c>
      <c r="F239" s="775">
        <f>Result!F15</f>
        <v>0</v>
      </c>
      <c r="G239" s="775">
        <f>Result!G15</f>
        <v>0</v>
      </c>
      <c r="H239" s="775"/>
      <c r="I239" s="760"/>
      <c r="J239" s="760"/>
      <c r="K239" s="760"/>
      <c r="L239" s="760"/>
      <c r="M239" s="760"/>
      <c r="N239" s="760"/>
    </row>
    <row r="240" spans="1:14">
      <c r="A240" s="760" t="s">
        <v>696</v>
      </c>
      <c r="B240" s="760"/>
      <c r="C240" s="760"/>
      <c r="D240" s="760"/>
      <c r="E240" s="775">
        <f>Result!E16</f>
        <v>5273.2475067210034</v>
      </c>
      <c r="F240" s="775">
        <f>Result!F16</f>
        <v>5268.9364194411173</v>
      </c>
      <c r="G240" s="775">
        <f>Result!G16</f>
        <v>958.71722078466041</v>
      </c>
      <c r="H240" s="775"/>
      <c r="I240" s="760"/>
      <c r="J240" s="760"/>
      <c r="K240" s="760"/>
      <c r="L240" s="760"/>
      <c r="M240" s="760"/>
      <c r="N240" s="760"/>
    </row>
    <row r="241" spans="1:14" ht="14.25">
      <c r="A241" s="760" t="s">
        <v>829</v>
      </c>
      <c r="B241" s="760"/>
      <c r="C241" s="760"/>
      <c r="D241" s="760"/>
      <c r="E241" s="774">
        <f>Result!E17</f>
        <v>41.851170688261931</v>
      </c>
      <c r="F241" s="774">
        <f>Result!F17</f>
        <v>41.816955709850134</v>
      </c>
      <c r="G241" s="774">
        <f>Result!G17</f>
        <v>7.6088668316242893</v>
      </c>
      <c r="H241" s="773"/>
      <c r="I241" s="760"/>
      <c r="J241" s="760"/>
      <c r="K241" s="760"/>
      <c r="L241" s="760"/>
      <c r="M241" s="760"/>
      <c r="N241" s="760"/>
    </row>
    <row r="242" spans="1:14">
      <c r="A242" s="760"/>
      <c r="B242" s="760"/>
      <c r="C242" s="760"/>
      <c r="D242" s="760"/>
      <c r="E242" s="765"/>
      <c r="F242" s="765"/>
      <c r="G242" s="765"/>
      <c r="H242" s="765"/>
      <c r="I242" s="760"/>
      <c r="J242" s="760"/>
      <c r="K242" s="760"/>
      <c r="L242" s="760"/>
      <c r="M242" s="760"/>
      <c r="N242" s="760"/>
    </row>
    <row r="243" spans="1:14" ht="14.25">
      <c r="A243" s="760" t="s">
        <v>1426</v>
      </c>
      <c r="B243" s="760"/>
      <c r="C243" s="760"/>
      <c r="D243" s="760"/>
      <c r="E243" s="765"/>
      <c r="F243" s="772">
        <f>Result!F19</f>
        <v>41.816955709850134</v>
      </c>
      <c r="G243" s="772" t="str">
        <f>Result!G19</f>
        <v>A2</v>
      </c>
      <c r="H243" s="765"/>
      <c r="I243" s="760"/>
      <c r="J243" s="760"/>
      <c r="K243" s="760"/>
      <c r="L243" s="760"/>
      <c r="M243" s="760"/>
      <c r="N243" s="760"/>
    </row>
    <row r="244" spans="1:14">
      <c r="A244" s="760"/>
      <c r="B244" s="760"/>
      <c r="C244" s="760"/>
      <c r="D244" s="760"/>
      <c r="E244" s="765"/>
      <c r="F244" s="765"/>
      <c r="G244" s="765"/>
      <c r="H244" s="765"/>
      <c r="I244" s="760"/>
      <c r="J244" s="760"/>
      <c r="K244" s="760"/>
      <c r="L244" s="760"/>
      <c r="M244" s="760"/>
      <c r="N244" s="760"/>
    </row>
    <row r="245" spans="1:14">
      <c r="A245" s="771" t="s">
        <v>1425</v>
      </c>
      <c r="B245" s="760"/>
      <c r="C245" s="760"/>
      <c r="D245" s="760"/>
      <c r="E245" s="765"/>
      <c r="F245" s="765"/>
      <c r="G245" s="765"/>
      <c r="H245" s="770">
        <f>TGDL</f>
        <v>2019</v>
      </c>
      <c r="I245" s="760"/>
      <c r="J245" s="760"/>
      <c r="K245" s="760"/>
      <c r="L245" s="760"/>
      <c r="M245" s="760"/>
      <c r="N245" s="760"/>
    </row>
    <row r="246" spans="1:14">
      <c r="A246" s="769"/>
      <c r="B246" s="760"/>
      <c r="C246" s="760"/>
      <c r="D246" s="760" t="s">
        <v>1424</v>
      </c>
      <c r="E246" s="765"/>
      <c r="F246" s="765"/>
      <c r="G246" s="765"/>
      <c r="H246" s="765"/>
      <c r="I246" s="760"/>
      <c r="J246" s="760"/>
      <c r="K246" s="760"/>
      <c r="L246" s="760"/>
      <c r="M246" s="760"/>
      <c r="N246" s="760"/>
    </row>
    <row r="247" spans="1:14">
      <c r="A247" s="765" t="s">
        <v>836</v>
      </c>
      <c r="B247" s="765"/>
      <c r="C247" s="767">
        <f>Result!E28</f>
        <v>0.28933101574519621</v>
      </c>
      <c r="D247" s="768">
        <f>Result!E29</f>
        <v>0.3</v>
      </c>
      <c r="E247" s="760" t="str">
        <f>Result!E30</f>
        <v>Complies</v>
      </c>
      <c r="F247" s="760"/>
      <c r="G247" s="760"/>
      <c r="H247" s="765"/>
      <c r="I247" s="760"/>
      <c r="J247" s="760"/>
      <c r="K247" s="760"/>
      <c r="L247" s="760"/>
      <c r="M247" s="760"/>
      <c r="N247" s="760"/>
    </row>
    <row r="248" spans="1:14">
      <c r="A248" s="765" t="s">
        <v>837</v>
      </c>
      <c r="B248" s="765"/>
      <c r="C248" s="767">
        <f>Result!G28</f>
        <v>0.25548071726272392</v>
      </c>
      <c r="D248" s="766">
        <f>Result!G29</f>
        <v>0.35</v>
      </c>
      <c r="E248" s="760" t="str">
        <f>Result!G30</f>
        <v>Complies</v>
      </c>
      <c r="F248" s="760"/>
      <c r="G248" s="760"/>
      <c r="H248" s="765"/>
      <c r="I248" s="760"/>
      <c r="J248" s="760"/>
      <c r="K248" s="760"/>
      <c r="L248" s="760"/>
      <c r="M248" s="760"/>
      <c r="N248" s="760"/>
    </row>
    <row r="249" spans="1:14">
      <c r="A249" s="760" t="s">
        <v>838</v>
      </c>
      <c r="B249" s="760"/>
      <c r="C249" s="818">
        <f>Result!I28</f>
        <v>0.25912929852382538</v>
      </c>
      <c r="D249" s="768">
        <f>Result!I29</f>
        <v>0.2</v>
      </c>
      <c r="E249" s="760" t="str">
        <f>Result!I30</f>
        <v>Complies</v>
      </c>
      <c r="F249" s="760"/>
      <c r="G249" s="760"/>
      <c r="H249" s="760"/>
      <c r="I249" s="760"/>
      <c r="J249" s="760"/>
      <c r="K249" s="760"/>
      <c r="L249" s="760"/>
      <c r="M249" s="760"/>
      <c r="N249" s="760"/>
    </row>
    <row r="250" spans="1:14">
      <c r="A250" s="759"/>
      <c r="B250" s="759"/>
      <c r="C250" s="759"/>
      <c r="D250" s="759"/>
      <c r="E250" s="759"/>
      <c r="F250" s="759"/>
      <c r="G250" s="759"/>
      <c r="H250" s="759"/>
      <c r="I250" s="759"/>
      <c r="J250" s="759"/>
      <c r="K250" s="759"/>
      <c r="L250" s="759"/>
      <c r="M250" s="759"/>
      <c r="N250" s="759"/>
    </row>
    <row r="251" spans="1:14">
      <c r="A251" s="759"/>
      <c r="B251" s="759"/>
      <c r="C251" s="759"/>
      <c r="D251" s="759"/>
      <c r="E251" s="759"/>
      <c r="F251" s="759"/>
      <c r="G251" s="759"/>
      <c r="H251" s="759"/>
      <c r="I251" s="759"/>
      <c r="J251" s="759"/>
      <c r="K251" s="759"/>
      <c r="L251" s="759"/>
      <c r="M251" s="759"/>
      <c r="N251" s="759"/>
    </row>
    <row r="252" spans="1:14">
      <c r="A252" s="759"/>
      <c r="B252" s="759"/>
      <c r="C252" s="759"/>
      <c r="D252" s="759"/>
      <c r="E252" s="759"/>
      <c r="F252" s="759"/>
      <c r="G252" s="759"/>
      <c r="H252" s="759"/>
      <c r="I252" s="759"/>
      <c r="J252" s="759"/>
      <c r="K252" s="759"/>
      <c r="L252" s="759"/>
      <c r="M252" s="759"/>
      <c r="N252" s="759"/>
    </row>
    <row r="253" spans="1:14">
      <c r="A253" s="759"/>
      <c r="B253" s="759"/>
      <c r="C253" s="759"/>
      <c r="D253" s="759"/>
      <c r="E253" s="759"/>
      <c r="F253" s="759"/>
      <c r="G253" s="759"/>
      <c r="H253" s="759"/>
      <c r="I253" s="759"/>
      <c r="J253" s="759"/>
      <c r="K253" s="759"/>
      <c r="L253" s="759"/>
      <c r="M253" s="759"/>
      <c r="N253" s="759"/>
    </row>
    <row r="254" spans="1:14">
      <c r="A254" s="759"/>
      <c r="B254" s="759"/>
      <c r="C254" s="759"/>
      <c r="D254" s="759"/>
      <c r="E254" s="759"/>
      <c r="F254" s="759"/>
      <c r="G254" s="759"/>
      <c r="H254" s="759"/>
      <c r="I254" s="759"/>
      <c r="J254" s="759"/>
      <c r="K254" s="759"/>
      <c r="L254" s="759"/>
      <c r="M254" s="759"/>
      <c r="N254" s="759"/>
    </row>
    <row r="255" spans="1:14">
      <c r="A255" s="759"/>
      <c r="B255" s="759"/>
      <c r="C255" s="759"/>
      <c r="D255" s="759"/>
      <c r="E255" s="759"/>
      <c r="F255" s="759"/>
      <c r="G255" s="759"/>
      <c r="H255" s="759"/>
      <c r="I255" s="759"/>
      <c r="J255" s="759"/>
      <c r="K255" s="759"/>
      <c r="L255" s="759"/>
      <c r="M255" s="759"/>
      <c r="N255" s="759"/>
    </row>
    <row r="256" spans="1:14">
      <c r="A256" s="759"/>
      <c r="B256" s="759"/>
      <c r="C256" s="759"/>
      <c r="D256" s="759"/>
      <c r="E256" s="759"/>
      <c r="F256" s="759"/>
      <c r="G256" s="759"/>
      <c r="H256" s="759"/>
      <c r="I256" s="759"/>
      <c r="J256" s="759"/>
      <c r="K256" s="759"/>
      <c r="L256" s="759"/>
      <c r="M256" s="759"/>
      <c r="N256" s="759"/>
    </row>
    <row r="257" spans="1:14">
      <c r="A257" s="759"/>
      <c r="B257" s="759"/>
      <c r="C257" s="759"/>
      <c r="D257" s="759"/>
      <c r="E257" s="759"/>
      <c r="F257" s="759"/>
      <c r="G257" s="759"/>
      <c r="H257" s="759"/>
      <c r="I257" s="759"/>
      <c r="J257" s="759"/>
      <c r="K257" s="759"/>
      <c r="L257" s="759"/>
      <c r="M257" s="759"/>
      <c r="N257" s="759"/>
    </row>
    <row r="258" spans="1:14">
      <c r="A258" s="759"/>
      <c r="B258" s="759"/>
      <c r="C258" s="759"/>
      <c r="D258" s="759"/>
      <c r="E258" s="759"/>
      <c r="F258" s="759"/>
      <c r="G258" s="759"/>
      <c r="H258" s="759"/>
      <c r="I258" s="759"/>
      <c r="J258" s="759"/>
      <c r="K258" s="759"/>
      <c r="L258" s="759"/>
      <c r="M258" s="759"/>
      <c r="N258" s="759"/>
    </row>
    <row r="259" spans="1:14">
      <c r="A259" s="759"/>
      <c r="B259" s="759"/>
      <c r="C259" s="759"/>
      <c r="D259" s="759"/>
      <c r="E259" s="759"/>
      <c r="F259" s="759"/>
      <c r="G259" s="759"/>
      <c r="H259" s="759"/>
      <c r="I259" s="759"/>
      <c r="J259" s="759"/>
      <c r="K259" s="759"/>
      <c r="L259" s="759"/>
      <c r="M259" s="759"/>
      <c r="N259" s="759"/>
    </row>
    <row r="260" spans="1:14">
      <c r="A260" s="759"/>
      <c r="B260" s="759"/>
      <c r="C260" s="759"/>
      <c r="D260" s="759"/>
      <c r="E260" s="759"/>
      <c r="F260" s="759"/>
      <c r="G260" s="759"/>
      <c r="H260" s="759"/>
      <c r="I260" s="759"/>
      <c r="J260" s="759"/>
      <c r="K260" s="759"/>
      <c r="L260" s="759"/>
      <c r="M260" s="759"/>
      <c r="N260" s="759"/>
    </row>
    <row r="261" spans="1:14">
      <c r="A261" s="759"/>
      <c r="B261" s="759"/>
      <c r="C261" s="759"/>
      <c r="D261" s="759"/>
      <c r="E261" s="759"/>
      <c r="F261" s="759"/>
      <c r="G261" s="759"/>
      <c r="H261" s="759"/>
      <c r="I261" s="759"/>
      <c r="J261" s="759"/>
      <c r="K261" s="759"/>
      <c r="L261" s="759"/>
      <c r="M261" s="759"/>
      <c r="N261" s="759"/>
    </row>
    <row r="262" spans="1:14">
      <c r="A262" s="759"/>
      <c r="B262" s="759"/>
      <c r="C262" s="759"/>
      <c r="D262" s="759"/>
      <c r="E262" s="759"/>
      <c r="F262" s="759"/>
      <c r="G262" s="759"/>
      <c r="H262" s="759"/>
      <c r="I262" s="759"/>
      <c r="J262" s="759"/>
      <c r="K262" s="759"/>
      <c r="L262" s="759"/>
      <c r="M262" s="759"/>
      <c r="N262" s="759"/>
    </row>
    <row r="263" spans="1:14">
      <c r="A263" s="759"/>
      <c r="B263" s="759"/>
      <c r="C263" s="759"/>
      <c r="D263" s="759"/>
      <c r="E263" s="759"/>
      <c r="F263" s="759"/>
      <c r="G263" s="759"/>
      <c r="H263" s="759"/>
      <c r="I263" s="759"/>
      <c r="J263" s="759"/>
      <c r="K263" s="759"/>
      <c r="L263" s="759"/>
      <c r="M263" s="759"/>
      <c r="N263" s="759"/>
    </row>
    <row r="264" spans="1:14">
      <c r="A264" s="759"/>
      <c r="B264" s="759"/>
      <c r="C264" s="759"/>
      <c r="D264" s="759"/>
      <c r="E264" s="759"/>
      <c r="F264" s="759"/>
      <c r="G264" s="759"/>
      <c r="H264" s="759"/>
      <c r="I264" s="759"/>
      <c r="J264" s="759"/>
      <c r="K264" s="759"/>
      <c r="L264" s="759"/>
      <c r="M264" s="759"/>
      <c r="N264" s="759"/>
    </row>
    <row r="265" spans="1:14">
      <c r="A265" s="759"/>
      <c r="B265" s="759"/>
      <c r="C265" s="759"/>
      <c r="D265" s="759"/>
      <c r="E265" s="759"/>
      <c r="F265" s="759"/>
      <c r="G265" s="759"/>
      <c r="H265" s="759"/>
      <c r="I265" s="759"/>
      <c r="J265" s="759"/>
      <c r="K265" s="759"/>
      <c r="L265" s="759"/>
      <c r="M265" s="759"/>
      <c r="N265" s="759"/>
    </row>
    <row r="266" spans="1:14">
      <c r="A266" s="759"/>
      <c r="B266" s="759"/>
      <c r="C266" s="759"/>
      <c r="D266" s="759"/>
      <c r="E266" s="759"/>
      <c r="F266" s="759"/>
      <c r="G266" s="759"/>
      <c r="H266" s="759"/>
      <c r="I266" s="759"/>
      <c r="J266" s="759"/>
      <c r="K266" s="759"/>
      <c r="L266" s="759"/>
      <c r="M266" s="759"/>
      <c r="N266" s="759"/>
    </row>
    <row r="267" spans="1:14">
      <c r="A267" s="759"/>
      <c r="B267" s="759"/>
      <c r="C267" s="759"/>
      <c r="D267" s="759"/>
      <c r="E267" s="759"/>
      <c r="F267" s="759"/>
      <c r="G267" s="759"/>
      <c r="H267" s="759"/>
      <c r="I267" s="759"/>
      <c r="J267" s="759"/>
      <c r="K267" s="759"/>
      <c r="L267" s="759"/>
      <c r="M267" s="759"/>
      <c r="N267" s="759"/>
    </row>
    <row r="268" spans="1:14">
      <c r="A268" s="759"/>
      <c r="B268" s="759"/>
      <c r="C268" s="759"/>
      <c r="D268" s="759"/>
      <c r="E268" s="759"/>
      <c r="F268" s="759"/>
      <c r="G268" s="759"/>
      <c r="H268" s="759"/>
      <c r="I268" s="759"/>
      <c r="J268" s="759"/>
      <c r="K268" s="759"/>
      <c r="L268" s="759"/>
      <c r="M268" s="759"/>
      <c r="N268" s="759"/>
    </row>
    <row r="269" spans="1:14">
      <c r="A269" s="759"/>
      <c r="B269" s="759"/>
      <c r="C269" s="759"/>
      <c r="D269" s="759"/>
      <c r="E269" s="759"/>
      <c r="F269" s="759"/>
      <c r="G269" s="759"/>
      <c r="H269" s="759"/>
      <c r="I269" s="759"/>
      <c r="J269" s="759"/>
      <c r="K269" s="759"/>
      <c r="L269" s="759"/>
      <c r="M269" s="759"/>
      <c r="N269" s="759"/>
    </row>
    <row r="270" spans="1:14">
      <c r="A270" s="759"/>
      <c r="B270" s="759"/>
      <c r="C270" s="759"/>
      <c r="D270" s="759"/>
      <c r="E270" s="759"/>
      <c r="F270" s="759"/>
      <c r="G270" s="759"/>
      <c r="H270" s="759"/>
      <c r="I270" s="759"/>
      <c r="J270" s="759"/>
      <c r="K270" s="759"/>
      <c r="L270" s="759"/>
      <c r="M270" s="759"/>
      <c r="N270" s="759"/>
    </row>
    <row r="271" spans="1:14">
      <c r="A271" s="759"/>
      <c r="B271" s="759"/>
      <c r="C271" s="759"/>
      <c r="D271" s="759"/>
      <c r="E271" s="759"/>
      <c r="F271" s="759"/>
      <c r="G271" s="759"/>
      <c r="H271" s="759"/>
      <c r="I271" s="759"/>
      <c r="J271" s="759"/>
      <c r="K271" s="759"/>
      <c r="L271" s="759"/>
      <c r="M271" s="759"/>
      <c r="N271" s="759"/>
    </row>
    <row r="272" spans="1:14">
      <c r="A272" s="759"/>
      <c r="B272" s="759"/>
      <c r="C272" s="759"/>
      <c r="D272" s="759"/>
      <c r="E272" s="759"/>
      <c r="F272" s="759"/>
      <c r="G272" s="759"/>
      <c r="H272" s="759"/>
      <c r="I272" s="759"/>
      <c r="J272" s="759"/>
      <c r="K272" s="759"/>
      <c r="L272" s="759"/>
      <c r="M272" s="759"/>
      <c r="N272" s="759"/>
    </row>
    <row r="273" spans="1:14">
      <c r="A273" s="759"/>
      <c r="B273" s="759"/>
      <c r="C273" s="759"/>
      <c r="D273" s="759"/>
      <c r="E273" s="759"/>
      <c r="F273" s="759"/>
      <c r="G273" s="759"/>
      <c r="H273" s="759"/>
      <c r="I273" s="759"/>
      <c r="J273" s="759"/>
      <c r="K273" s="759"/>
      <c r="L273" s="759"/>
      <c r="M273" s="759"/>
      <c r="N273" s="759"/>
    </row>
    <row r="274" spans="1:14">
      <c r="A274" s="759"/>
      <c r="B274" s="759"/>
      <c r="C274" s="759"/>
      <c r="D274" s="759"/>
      <c r="E274" s="759"/>
      <c r="F274" s="759"/>
      <c r="G274" s="759"/>
      <c r="H274" s="759"/>
      <c r="I274" s="759"/>
      <c r="J274" s="759"/>
      <c r="K274" s="759"/>
      <c r="L274" s="759"/>
      <c r="M274" s="759"/>
      <c r="N274" s="759"/>
    </row>
    <row r="275" spans="1:14">
      <c r="A275" s="759"/>
      <c r="B275" s="759"/>
      <c r="C275" s="759"/>
      <c r="D275" s="759"/>
      <c r="E275" s="759"/>
      <c r="F275" s="759"/>
      <c r="G275" s="759"/>
      <c r="H275" s="759"/>
      <c r="I275" s="759"/>
      <c r="J275" s="759"/>
      <c r="K275" s="759"/>
      <c r="L275" s="759"/>
      <c r="M275" s="759"/>
      <c r="N275" s="759"/>
    </row>
    <row r="276" spans="1:14">
      <c r="A276" s="759"/>
      <c r="B276" s="759"/>
      <c r="C276" s="759"/>
      <c r="D276" s="759"/>
      <c r="E276" s="759"/>
      <c r="F276" s="759"/>
      <c r="G276" s="759"/>
      <c r="H276" s="759"/>
      <c r="I276" s="759"/>
      <c r="J276" s="759"/>
      <c r="K276" s="759"/>
      <c r="L276" s="759"/>
      <c r="M276" s="759"/>
      <c r="N276" s="759"/>
    </row>
    <row r="277" spans="1:14">
      <c r="A277" s="759"/>
      <c r="B277" s="759"/>
      <c r="C277" s="759"/>
      <c r="D277" s="759"/>
      <c r="E277" s="759"/>
      <c r="F277" s="759"/>
      <c r="G277" s="759"/>
      <c r="H277" s="759"/>
      <c r="I277" s="759"/>
      <c r="J277" s="759"/>
      <c r="K277" s="759"/>
      <c r="L277" s="759"/>
      <c r="M277" s="759"/>
      <c r="N277" s="759"/>
    </row>
    <row r="278" spans="1:14">
      <c r="A278" s="759"/>
      <c r="B278" s="759"/>
      <c r="C278" s="759"/>
      <c r="D278" s="759"/>
      <c r="E278" s="759"/>
      <c r="F278" s="759"/>
      <c r="G278" s="759"/>
      <c r="H278" s="759"/>
      <c r="I278" s="759"/>
      <c r="J278" s="759"/>
      <c r="K278" s="759"/>
      <c r="L278" s="759"/>
      <c r="M278" s="759"/>
      <c r="N278" s="759"/>
    </row>
    <row r="279" spans="1:14">
      <c r="A279" s="759"/>
      <c r="B279" s="759"/>
      <c r="C279" s="759"/>
      <c r="D279" s="759"/>
      <c r="E279" s="759"/>
      <c r="F279" s="759"/>
      <c r="G279" s="759"/>
      <c r="H279" s="759"/>
      <c r="I279" s="759"/>
      <c r="J279" s="759"/>
      <c r="K279" s="759"/>
      <c r="L279" s="759"/>
      <c r="M279" s="759"/>
      <c r="N279" s="759"/>
    </row>
    <row r="280" spans="1:14">
      <c r="A280" s="759"/>
      <c r="B280" s="759"/>
      <c r="C280" s="759"/>
      <c r="D280" s="759"/>
      <c r="E280" s="759"/>
      <c r="F280" s="759"/>
      <c r="G280" s="759"/>
      <c r="H280" s="759"/>
      <c r="I280" s="759"/>
      <c r="J280" s="759"/>
      <c r="K280" s="759"/>
      <c r="L280" s="759"/>
      <c r="M280" s="759"/>
      <c r="N280" s="759"/>
    </row>
    <row r="281" spans="1:14">
      <c r="A281" s="759"/>
      <c r="B281" s="759"/>
      <c r="C281" s="759"/>
      <c r="D281" s="759"/>
      <c r="E281" s="759"/>
      <c r="F281" s="759"/>
      <c r="G281" s="759"/>
      <c r="H281" s="759"/>
      <c r="I281" s="759"/>
      <c r="J281" s="759"/>
      <c r="K281" s="759"/>
      <c r="L281" s="759"/>
      <c r="M281" s="759"/>
      <c r="N281" s="759"/>
    </row>
    <row r="282" spans="1:14">
      <c r="A282" s="759"/>
      <c r="B282" s="759"/>
      <c r="C282" s="759"/>
      <c r="D282" s="759"/>
      <c r="E282" s="759"/>
      <c r="F282" s="759"/>
      <c r="G282" s="759"/>
      <c r="H282" s="759"/>
      <c r="I282" s="759"/>
      <c r="J282" s="759"/>
      <c r="K282" s="759"/>
      <c r="L282" s="759"/>
      <c r="M282" s="759"/>
      <c r="N282" s="759"/>
    </row>
    <row r="283" spans="1:14">
      <c r="A283" s="759"/>
      <c r="B283" s="759"/>
      <c r="C283" s="759"/>
      <c r="D283" s="759"/>
      <c r="E283" s="759"/>
      <c r="F283" s="759"/>
      <c r="G283" s="759"/>
      <c r="H283" s="759"/>
      <c r="I283" s="759"/>
      <c r="J283" s="759"/>
      <c r="K283" s="759"/>
      <c r="L283" s="759"/>
      <c r="M283" s="759"/>
      <c r="N283" s="759"/>
    </row>
    <row r="284" spans="1:14">
      <c r="A284" s="759"/>
      <c r="B284" s="759"/>
      <c r="C284" s="759"/>
      <c r="D284" s="759"/>
      <c r="E284" s="759"/>
      <c r="F284" s="759"/>
      <c r="G284" s="759"/>
      <c r="H284" s="759"/>
      <c r="I284" s="759"/>
      <c r="J284" s="759"/>
      <c r="K284" s="759"/>
      <c r="L284" s="759"/>
      <c r="M284" s="759"/>
      <c r="N284" s="759"/>
    </row>
    <row r="285" spans="1:14">
      <c r="A285" s="759"/>
      <c r="B285" s="759"/>
      <c r="C285" s="759"/>
      <c r="D285" s="759"/>
      <c r="E285" s="759"/>
      <c r="F285" s="759"/>
      <c r="G285" s="759"/>
      <c r="H285" s="759"/>
      <c r="I285" s="759"/>
      <c r="J285" s="759"/>
      <c r="K285" s="759"/>
      <c r="L285" s="759"/>
      <c r="M285" s="759"/>
      <c r="N285" s="759"/>
    </row>
    <row r="286" spans="1:14">
      <c r="A286" s="759"/>
      <c r="B286" s="759"/>
      <c r="C286" s="759"/>
      <c r="D286" s="759"/>
      <c r="E286" s="759"/>
      <c r="F286" s="759"/>
      <c r="G286" s="759"/>
      <c r="H286" s="759"/>
      <c r="I286" s="759"/>
      <c r="J286" s="759"/>
      <c r="K286" s="759"/>
      <c r="L286" s="759"/>
      <c r="M286" s="759"/>
      <c r="N286" s="759"/>
    </row>
    <row r="287" spans="1:14">
      <c r="A287" s="759"/>
      <c r="B287" s="759"/>
      <c r="C287" s="759"/>
      <c r="D287" s="759"/>
      <c r="E287" s="759"/>
      <c r="F287" s="759"/>
      <c r="G287" s="759"/>
      <c r="H287" s="759"/>
      <c r="I287" s="759"/>
      <c r="J287" s="759"/>
      <c r="K287" s="759"/>
      <c r="L287" s="759"/>
      <c r="M287" s="759"/>
      <c r="N287" s="759"/>
    </row>
    <row r="288" spans="1:14">
      <c r="A288" s="759"/>
      <c r="B288" s="759"/>
      <c r="C288" s="759"/>
      <c r="D288" s="759"/>
      <c r="E288" s="759"/>
      <c r="F288" s="759"/>
      <c r="G288" s="759"/>
      <c r="H288" s="759"/>
      <c r="I288" s="759"/>
      <c r="J288" s="759"/>
      <c r="K288" s="759"/>
      <c r="L288" s="759"/>
      <c r="M288" s="759"/>
      <c r="N288" s="759"/>
    </row>
    <row r="289" spans="1:14">
      <c r="A289" s="759"/>
      <c r="B289" s="759"/>
      <c r="C289" s="759"/>
      <c r="D289" s="759"/>
      <c r="E289" s="759"/>
      <c r="F289" s="759"/>
      <c r="G289" s="759"/>
      <c r="H289" s="759"/>
      <c r="I289" s="759"/>
      <c r="J289" s="759"/>
      <c r="K289" s="759"/>
      <c r="L289" s="759"/>
      <c r="M289" s="759"/>
      <c r="N289" s="759"/>
    </row>
    <row r="290" spans="1:14">
      <c r="A290" s="759"/>
      <c r="B290" s="759"/>
      <c r="C290" s="759"/>
      <c r="D290" s="759"/>
      <c r="E290" s="759"/>
      <c r="F290" s="759"/>
      <c r="G290" s="759"/>
      <c r="H290" s="759"/>
      <c r="I290" s="759"/>
      <c r="J290" s="759"/>
      <c r="K290" s="759"/>
      <c r="L290" s="759"/>
      <c r="M290" s="759"/>
      <c r="N290" s="759"/>
    </row>
    <row r="291" spans="1:14">
      <c r="A291" s="759"/>
      <c r="B291" s="759"/>
      <c r="C291" s="759"/>
      <c r="D291" s="759"/>
      <c r="E291" s="759"/>
      <c r="F291" s="759"/>
      <c r="G291" s="759"/>
      <c r="H291" s="759"/>
      <c r="I291" s="759"/>
      <c r="J291" s="759"/>
      <c r="K291" s="759"/>
      <c r="L291" s="759"/>
      <c r="M291" s="759"/>
      <c r="N291" s="759"/>
    </row>
    <row r="292" spans="1:14">
      <c r="A292" s="759"/>
      <c r="B292" s="759"/>
      <c r="C292" s="759"/>
      <c r="D292" s="759"/>
      <c r="E292" s="759"/>
      <c r="F292" s="759"/>
      <c r="G292" s="759"/>
      <c r="H292" s="759"/>
      <c r="I292" s="759"/>
      <c r="J292" s="759"/>
      <c r="K292" s="759"/>
      <c r="L292" s="759"/>
      <c r="M292" s="759"/>
      <c r="N292" s="759"/>
    </row>
    <row r="293" spans="1:14">
      <c r="A293" s="759"/>
      <c r="B293" s="759"/>
      <c r="C293" s="759"/>
      <c r="D293" s="759"/>
      <c r="E293" s="759"/>
      <c r="F293" s="759"/>
      <c r="G293" s="759"/>
      <c r="H293" s="759"/>
      <c r="I293" s="759"/>
      <c r="J293" s="759"/>
      <c r="K293" s="759"/>
      <c r="L293" s="759"/>
      <c r="M293" s="759"/>
      <c r="N293" s="759"/>
    </row>
    <row r="294" spans="1:14">
      <c r="A294" s="759"/>
      <c r="B294" s="759"/>
      <c r="C294" s="759"/>
      <c r="D294" s="759"/>
      <c r="E294" s="759"/>
      <c r="F294" s="759"/>
      <c r="G294" s="759"/>
      <c r="H294" s="759"/>
      <c r="I294" s="759"/>
      <c r="J294" s="759"/>
      <c r="K294" s="759"/>
      <c r="L294" s="759"/>
      <c r="M294" s="759"/>
      <c r="N294" s="759"/>
    </row>
    <row r="295" spans="1:14">
      <c r="A295" s="759"/>
      <c r="B295" s="759"/>
      <c r="C295" s="759"/>
      <c r="D295" s="759"/>
      <c r="E295" s="759"/>
      <c r="F295" s="759"/>
      <c r="G295" s="759"/>
      <c r="H295" s="759"/>
      <c r="I295" s="759"/>
      <c r="J295" s="759"/>
      <c r="K295" s="759"/>
      <c r="L295" s="759"/>
      <c r="M295" s="759"/>
      <c r="N295" s="759"/>
    </row>
    <row r="296" spans="1:14">
      <c r="A296" s="759"/>
      <c r="B296" s="759"/>
      <c r="C296" s="759"/>
      <c r="D296" s="759"/>
      <c r="E296" s="759"/>
      <c r="F296" s="759"/>
      <c r="G296" s="759"/>
      <c r="H296" s="759"/>
      <c r="I296" s="759"/>
      <c r="J296" s="759"/>
      <c r="K296" s="759"/>
      <c r="L296" s="759"/>
      <c r="M296" s="759"/>
      <c r="N296" s="759"/>
    </row>
    <row r="297" spans="1:14">
      <c r="A297" s="759"/>
      <c r="B297" s="759"/>
      <c r="C297" s="759"/>
      <c r="D297" s="759"/>
      <c r="E297" s="759"/>
      <c r="F297" s="759"/>
      <c r="G297" s="759"/>
      <c r="H297" s="759"/>
      <c r="I297" s="759"/>
      <c r="J297" s="759"/>
      <c r="K297" s="759"/>
      <c r="L297" s="759"/>
      <c r="M297" s="759"/>
      <c r="N297" s="759"/>
    </row>
    <row r="298" spans="1:14">
      <c r="A298" s="759"/>
      <c r="B298" s="759"/>
      <c r="C298" s="759"/>
      <c r="D298" s="759"/>
      <c r="E298" s="759"/>
      <c r="F298" s="759"/>
      <c r="G298" s="759"/>
      <c r="H298" s="759"/>
      <c r="I298" s="759"/>
      <c r="J298" s="759"/>
      <c r="K298" s="759"/>
      <c r="L298" s="759"/>
      <c r="M298" s="759"/>
      <c r="N298" s="759"/>
    </row>
    <row r="299" spans="1:14">
      <c r="A299" s="759"/>
      <c r="B299" s="759"/>
      <c r="C299" s="759"/>
      <c r="D299" s="759"/>
      <c r="E299" s="759"/>
      <c r="F299" s="759"/>
      <c r="G299" s="759"/>
      <c r="H299" s="759"/>
      <c r="I299" s="759"/>
      <c r="J299" s="759"/>
      <c r="K299" s="759"/>
      <c r="L299" s="759"/>
      <c r="M299" s="759"/>
      <c r="N299" s="759"/>
    </row>
    <row r="300" spans="1:14">
      <c r="A300" s="759"/>
      <c r="B300" s="759"/>
      <c r="C300" s="759"/>
      <c r="D300" s="759"/>
      <c r="E300" s="759"/>
      <c r="F300" s="759"/>
      <c r="G300" s="759"/>
      <c r="H300" s="759"/>
      <c r="I300" s="759"/>
      <c r="J300" s="759"/>
      <c r="K300" s="759"/>
      <c r="L300" s="759"/>
      <c r="M300" s="759"/>
      <c r="N300" s="759"/>
    </row>
    <row r="301" spans="1:14">
      <c r="A301" s="759"/>
      <c r="B301" s="759"/>
      <c r="C301" s="759"/>
      <c r="D301" s="759"/>
      <c r="E301" s="759"/>
      <c r="F301" s="759"/>
      <c r="G301" s="759"/>
      <c r="H301" s="759"/>
      <c r="I301" s="759"/>
      <c r="J301" s="759"/>
      <c r="K301" s="759"/>
      <c r="L301" s="759"/>
      <c r="M301" s="759"/>
      <c r="N301" s="759"/>
    </row>
    <row r="302" spans="1:14">
      <c r="A302" s="759"/>
      <c r="B302" s="759"/>
      <c r="C302" s="759"/>
      <c r="D302" s="759"/>
      <c r="E302" s="759"/>
      <c r="F302" s="759"/>
      <c r="G302" s="759"/>
      <c r="H302" s="759"/>
      <c r="I302" s="759"/>
      <c r="J302" s="759"/>
      <c r="K302" s="759"/>
      <c r="L302" s="759"/>
      <c r="M302" s="759"/>
      <c r="N302" s="759"/>
    </row>
    <row r="303" spans="1:14">
      <c r="A303" s="759"/>
      <c r="B303" s="759"/>
      <c r="C303" s="759"/>
      <c r="D303" s="759"/>
      <c r="E303" s="759"/>
      <c r="F303" s="759"/>
      <c r="G303" s="759"/>
      <c r="H303" s="759"/>
      <c r="I303" s="759"/>
      <c r="J303" s="759"/>
      <c r="K303" s="759"/>
      <c r="L303" s="759"/>
      <c r="M303" s="759"/>
      <c r="N303" s="759"/>
    </row>
    <row r="304" spans="1:14">
      <c r="A304" s="759"/>
      <c r="B304" s="759"/>
      <c r="C304" s="759"/>
      <c r="D304" s="759"/>
      <c r="E304" s="759"/>
      <c r="F304" s="759"/>
      <c r="G304" s="759"/>
      <c r="H304" s="759"/>
      <c r="I304" s="759"/>
      <c r="J304" s="759"/>
      <c r="K304" s="759"/>
      <c r="L304" s="759"/>
      <c r="M304" s="759"/>
      <c r="N304" s="759"/>
    </row>
    <row r="305" spans="1:14">
      <c r="A305" s="759"/>
      <c r="B305" s="759"/>
      <c r="C305" s="759"/>
      <c r="D305" s="759"/>
      <c r="E305" s="759"/>
      <c r="F305" s="759"/>
      <c r="G305" s="759"/>
      <c r="H305" s="759"/>
      <c r="I305" s="759"/>
      <c r="J305" s="759"/>
      <c r="K305" s="759"/>
      <c r="L305" s="759"/>
      <c r="M305" s="759"/>
      <c r="N305" s="759"/>
    </row>
    <row r="306" spans="1:14">
      <c r="A306" s="759"/>
      <c r="B306" s="759"/>
      <c r="C306" s="759"/>
      <c r="D306" s="759"/>
      <c r="E306" s="759"/>
      <c r="F306" s="759"/>
      <c r="G306" s="759"/>
      <c r="H306" s="759"/>
      <c r="I306" s="759"/>
      <c r="J306" s="759"/>
      <c r="K306" s="759"/>
      <c r="L306" s="759"/>
      <c r="M306" s="759"/>
      <c r="N306" s="759"/>
    </row>
    <row r="307" spans="1:14">
      <c r="A307" s="759"/>
      <c r="B307" s="759"/>
      <c r="C307" s="759"/>
      <c r="D307" s="759"/>
      <c r="E307" s="759"/>
      <c r="F307" s="759"/>
      <c r="G307" s="759"/>
      <c r="H307" s="759"/>
      <c r="I307" s="759"/>
      <c r="J307" s="759"/>
      <c r="K307" s="759"/>
      <c r="L307" s="759"/>
      <c r="M307" s="759"/>
      <c r="N307" s="759"/>
    </row>
    <row r="308" spans="1:14">
      <c r="A308" s="759"/>
      <c r="B308" s="759"/>
      <c r="C308" s="759"/>
      <c r="D308" s="759"/>
      <c r="E308" s="759"/>
      <c r="F308" s="759"/>
      <c r="G308" s="759"/>
      <c r="H308" s="759"/>
      <c r="I308" s="759"/>
      <c r="J308" s="759"/>
      <c r="K308" s="759"/>
      <c r="L308" s="759"/>
      <c r="M308" s="759"/>
      <c r="N308" s="759"/>
    </row>
    <row r="309" spans="1:14">
      <c r="A309" s="759"/>
      <c r="B309" s="759"/>
      <c r="C309" s="759"/>
      <c r="D309" s="759"/>
      <c r="E309" s="759"/>
      <c r="F309" s="759"/>
      <c r="G309" s="759"/>
      <c r="H309" s="759"/>
      <c r="I309" s="759"/>
      <c r="J309" s="759"/>
      <c r="K309" s="759"/>
      <c r="L309" s="759"/>
      <c r="M309" s="759"/>
      <c r="N309" s="759"/>
    </row>
    <row r="310" spans="1:14">
      <c r="A310" s="759"/>
      <c r="B310" s="759"/>
      <c r="C310" s="759"/>
      <c r="D310" s="759"/>
      <c r="E310" s="759"/>
      <c r="F310" s="759"/>
      <c r="G310" s="759"/>
      <c r="H310" s="759"/>
      <c r="I310" s="759"/>
      <c r="J310" s="759"/>
      <c r="K310" s="759"/>
      <c r="L310" s="759"/>
      <c r="M310" s="759"/>
      <c r="N310" s="759"/>
    </row>
    <row r="311" spans="1:14">
      <c r="A311" s="759"/>
      <c r="B311" s="759"/>
      <c r="C311" s="759"/>
      <c r="D311" s="759"/>
      <c r="E311" s="759"/>
      <c r="F311" s="759"/>
      <c r="G311" s="759"/>
      <c r="H311" s="759"/>
      <c r="I311" s="759"/>
      <c r="J311" s="759"/>
      <c r="K311" s="759"/>
      <c r="L311" s="759"/>
      <c r="M311" s="759"/>
      <c r="N311" s="759"/>
    </row>
    <row r="312" spans="1:14">
      <c r="A312" s="759"/>
      <c r="B312" s="759"/>
      <c r="C312" s="759"/>
      <c r="D312" s="759"/>
      <c r="E312" s="759"/>
      <c r="F312" s="759"/>
      <c r="G312" s="759"/>
      <c r="H312" s="759"/>
      <c r="I312" s="759"/>
      <c r="J312" s="759"/>
      <c r="K312" s="759"/>
      <c r="L312" s="759"/>
      <c r="M312" s="759"/>
      <c r="N312" s="759"/>
    </row>
    <row r="313" spans="1:14">
      <c r="A313" s="759"/>
      <c r="B313" s="759"/>
      <c r="C313" s="759"/>
      <c r="D313" s="759"/>
      <c r="E313" s="759"/>
      <c r="F313" s="759"/>
      <c r="G313" s="759"/>
      <c r="H313" s="759"/>
      <c r="I313" s="759"/>
      <c r="J313" s="759"/>
      <c r="K313" s="759"/>
      <c r="L313" s="759"/>
      <c r="M313" s="759"/>
      <c r="N313" s="759"/>
    </row>
    <row r="314" spans="1:14">
      <c r="A314" s="759"/>
      <c r="B314" s="759"/>
      <c r="C314" s="759"/>
      <c r="D314" s="759"/>
      <c r="E314" s="759"/>
      <c r="F314" s="759"/>
      <c r="G314" s="759"/>
      <c r="H314" s="759"/>
      <c r="I314" s="759"/>
      <c r="J314" s="759"/>
      <c r="K314" s="759"/>
      <c r="L314" s="759"/>
      <c r="M314" s="759"/>
      <c r="N314" s="759"/>
    </row>
    <row r="315" spans="1:14">
      <c r="A315" s="759"/>
      <c r="B315" s="759"/>
      <c r="C315" s="759"/>
      <c r="D315" s="759"/>
      <c r="E315" s="759"/>
      <c r="F315" s="759"/>
      <c r="G315" s="759"/>
      <c r="H315" s="759"/>
      <c r="I315" s="759"/>
      <c r="J315" s="759"/>
      <c r="K315" s="759"/>
      <c r="L315" s="759"/>
      <c r="M315" s="759"/>
      <c r="N315" s="759"/>
    </row>
    <row r="316" spans="1:14">
      <c r="A316" s="759"/>
      <c r="B316" s="759"/>
      <c r="C316" s="759"/>
      <c r="D316" s="759"/>
      <c r="E316" s="759"/>
      <c r="F316" s="759"/>
      <c r="G316" s="759"/>
      <c r="H316" s="759"/>
      <c r="I316" s="759"/>
      <c r="J316" s="759"/>
      <c r="K316" s="759"/>
      <c r="L316" s="759"/>
      <c r="M316" s="759"/>
      <c r="N316" s="759"/>
    </row>
    <row r="317" spans="1:14">
      <c r="A317" s="759"/>
      <c r="B317" s="759"/>
      <c r="C317" s="759"/>
      <c r="D317" s="759"/>
      <c r="E317" s="759"/>
      <c r="F317" s="759"/>
      <c r="G317" s="759"/>
      <c r="H317" s="759"/>
      <c r="I317" s="759"/>
      <c r="J317" s="759"/>
      <c r="K317" s="759"/>
      <c r="L317" s="759"/>
      <c r="M317" s="759"/>
      <c r="N317" s="759"/>
    </row>
    <row r="318" spans="1:14">
      <c r="A318" s="759"/>
      <c r="B318" s="759"/>
      <c r="C318" s="759"/>
      <c r="D318" s="759"/>
      <c r="E318" s="759"/>
      <c r="F318" s="759"/>
      <c r="G318" s="759"/>
      <c r="H318" s="759"/>
      <c r="I318" s="759"/>
      <c r="J318" s="759"/>
      <c r="K318" s="759"/>
      <c r="L318" s="759"/>
      <c r="M318" s="759"/>
      <c r="N318" s="759"/>
    </row>
    <row r="319" spans="1:14">
      <c r="A319" s="759"/>
      <c r="B319" s="759"/>
      <c r="C319" s="759"/>
      <c r="D319" s="759"/>
      <c r="E319" s="759"/>
      <c r="F319" s="759"/>
      <c r="G319" s="759"/>
      <c r="H319" s="759"/>
      <c r="I319" s="759"/>
      <c r="J319" s="759"/>
      <c r="K319" s="759"/>
      <c r="L319" s="759"/>
      <c r="M319" s="759"/>
      <c r="N319" s="759"/>
    </row>
    <row r="320" spans="1:14">
      <c r="A320" s="759"/>
      <c r="B320" s="759"/>
      <c r="C320" s="759"/>
      <c r="D320" s="759"/>
      <c r="E320" s="759"/>
      <c r="F320" s="759"/>
      <c r="G320" s="759"/>
      <c r="H320" s="759"/>
      <c r="I320" s="759"/>
      <c r="J320" s="759"/>
      <c r="K320" s="759"/>
      <c r="L320" s="759"/>
      <c r="M320" s="759"/>
      <c r="N320" s="759"/>
    </row>
    <row r="321" spans="1:14">
      <c r="A321" s="759"/>
      <c r="B321" s="759"/>
      <c r="C321" s="759"/>
      <c r="D321" s="759"/>
      <c r="E321" s="759"/>
      <c r="F321" s="759"/>
      <c r="G321" s="759"/>
      <c r="H321" s="759"/>
      <c r="I321" s="759"/>
      <c r="J321" s="759"/>
      <c r="K321" s="759"/>
      <c r="L321" s="759"/>
      <c r="M321" s="759"/>
      <c r="N321" s="759"/>
    </row>
    <row r="322" spans="1:14">
      <c r="A322" s="759"/>
      <c r="B322" s="759"/>
      <c r="C322" s="759"/>
      <c r="D322" s="759"/>
      <c r="E322" s="759"/>
      <c r="F322" s="759"/>
      <c r="G322" s="759"/>
      <c r="H322" s="759"/>
      <c r="I322" s="759"/>
      <c r="J322" s="759"/>
      <c r="K322" s="759"/>
      <c r="L322" s="759"/>
      <c r="M322" s="759"/>
      <c r="N322" s="759"/>
    </row>
    <row r="323" spans="1:14">
      <c r="A323" s="759"/>
      <c r="B323" s="759"/>
      <c r="C323" s="759"/>
      <c r="D323" s="759"/>
      <c r="E323" s="759"/>
      <c r="F323" s="759"/>
      <c r="G323" s="759"/>
      <c r="H323" s="759"/>
      <c r="I323" s="759"/>
      <c r="J323" s="759"/>
      <c r="K323" s="759"/>
      <c r="L323" s="759"/>
      <c r="M323" s="759"/>
      <c r="N323" s="759"/>
    </row>
    <row r="324" spans="1:14">
      <c r="A324" s="759"/>
      <c r="B324" s="759"/>
      <c r="C324" s="759"/>
      <c r="D324" s="759"/>
      <c r="E324" s="759"/>
      <c r="F324" s="759"/>
      <c r="G324" s="759"/>
      <c r="H324" s="759"/>
      <c r="I324" s="759"/>
      <c r="J324" s="759"/>
      <c r="K324" s="759"/>
      <c r="L324" s="759"/>
      <c r="M324" s="759"/>
      <c r="N324" s="759"/>
    </row>
    <row r="325" spans="1:14">
      <c r="A325" s="759"/>
      <c r="B325" s="759"/>
      <c r="C325" s="759"/>
      <c r="D325" s="759"/>
      <c r="E325" s="759"/>
      <c r="F325" s="759"/>
      <c r="G325" s="759"/>
      <c r="H325" s="759"/>
      <c r="I325" s="759"/>
      <c r="J325" s="759"/>
      <c r="K325" s="759"/>
      <c r="L325" s="759"/>
      <c r="M325" s="759"/>
      <c r="N325" s="759"/>
    </row>
    <row r="326" spans="1:14">
      <c r="A326" s="759"/>
      <c r="B326" s="759"/>
      <c r="C326" s="759"/>
      <c r="D326" s="759"/>
      <c r="E326" s="759"/>
      <c r="F326" s="759"/>
      <c r="G326" s="759"/>
      <c r="H326" s="759"/>
      <c r="I326" s="759"/>
      <c r="J326" s="759"/>
      <c r="K326" s="759"/>
      <c r="L326" s="759"/>
      <c r="M326" s="759"/>
      <c r="N326" s="759"/>
    </row>
    <row r="327" spans="1:14">
      <c r="A327" s="759"/>
      <c r="B327" s="759"/>
      <c r="C327" s="759"/>
      <c r="D327" s="759"/>
      <c r="E327" s="759"/>
      <c r="F327" s="759"/>
      <c r="G327" s="759"/>
      <c r="H327" s="759"/>
      <c r="I327" s="759"/>
      <c r="J327" s="759"/>
      <c r="K327" s="759"/>
      <c r="L327" s="759"/>
      <c r="M327" s="759"/>
      <c r="N327" s="759"/>
    </row>
    <row r="328" spans="1:14">
      <c r="A328" s="759"/>
      <c r="B328" s="759"/>
      <c r="C328" s="759"/>
      <c r="D328" s="759"/>
      <c r="E328" s="759"/>
      <c r="F328" s="759"/>
      <c r="G328" s="759"/>
      <c r="H328" s="759"/>
      <c r="I328" s="759"/>
      <c r="J328" s="759"/>
      <c r="K328" s="759"/>
      <c r="L328" s="759"/>
      <c r="M328" s="759"/>
      <c r="N328" s="759"/>
    </row>
    <row r="329" spans="1:14">
      <c r="A329" s="759"/>
      <c r="B329" s="759"/>
      <c r="C329" s="759"/>
      <c r="D329" s="759"/>
      <c r="E329" s="759"/>
      <c r="F329" s="759"/>
      <c r="G329" s="759"/>
      <c r="H329" s="759"/>
      <c r="I329" s="759"/>
      <c r="J329" s="759"/>
      <c r="K329" s="759"/>
      <c r="L329" s="759"/>
      <c r="M329" s="759"/>
      <c r="N329" s="759"/>
    </row>
    <row r="330" spans="1:14">
      <c r="A330" s="759"/>
      <c r="B330" s="759"/>
      <c r="C330" s="759"/>
      <c r="D330" s="759"/>
      <c r="E330" s="759"/>
      <c r="F330" s="759"/>
      <c r="G330" s="759"/>
      <c r="H330" s="759"/>
      <c r="I330" s="759"/>
      <c r="J330" s="759"/>
      <c r="K330" s="759"/>
      <c r="L330" s="759"/>
      <c r="M330" s="759"/>
      <c r="N330" s="759"/>
    </row>
    <row r="331" spans="1:14">
      <c r="A331" s="759"/>
      <c r="B331" s="759"/>
      <c r="C331" s="759"/>
      <c r="D331" s="759"/>
      <c r="E331" s="759"/>
      <c r="F331" s="759"/>
      <c r="G331" s="759"/>
      <c r="H331" s="759"/>
      <c r="I331" s="759"/>
      <c r="J331" s="759"/>
      <c r="K331" s="759"/>
      <c r="L331" s="759"/>
      <c r="M331" s="759"/>
      <c r="N331" s="759"/>
    </row>
    <row r="332" spans="1:14">
      <c r="A332" s="759"/>
      <c r="B332" s="759"/>
      <c r="C332" s="759"/>
      <c r="D332" s="759"/>
      <c r="E332" s="759"/>
      <c r="F332" s="759"/>
      <c r="G332" s="759"/>
      <c r="H332" s="759"/>
      <c r="I332" s="759"/>
      <c r="J332" s="759"/>
      <c r="K332" s="759"/>
      <c r="L332" s="759"/>
      <c r="M332" s="759"/>
      <c r="N332" s="759"/>
    </row>
    <row r="333" spans="1:14">
      <c r="A333" s="759"/>
      <c r="B333" s="759"/>
      <c r="C333" s="759"/>
      <c r="D333" s="759"/>
      <c r="E333" s="759"/>
      <c r="F333" s="759"/>
      <c r="G333" s="759"/>
      <c r="H333" s="759"/>
      <c r="I333" s="759"/>
      <c r="J333" s="759"/>
      <c r="K333" s="759"/>
      <c r="L333" s="759"/>
      <c r="M333" s="759"/>
      <c r="N333" s="759"/>
    </row>
    <row r="334" spans="1:14">
      <c r="A334" s="759"/>
      <c r="B334" s="759"/>
      <c r="C334" s="759"/>
      <c r="D334" s="759"/>
      <c r="E334" s="759"/>
      <c r="F334" s="759"/>
      <c r="G334" s="759"/>
      <c r="H334" s="759"/>
      <c r="I334" s="759"/>
      <c r="J334" s="759"/>
      <c r="K334" s="759"/>
      <c r="L334" s="759"/>
      <c r="M334" s="759"/>
      <c r="N334" s="759"/>
    </row>
    <row r="335" spans="1:14">
      <c r="A335" s="759"/>
      <c r="B335" s="759"/>
      <c r="C335" s="759"/>
      <c r="D335" s="759"/>
      <c r="E335" s="759"/>
      <c r="F335" s="759"/>
      <c r="G335" s="759"/>
      <c r="H335" s="759"/>
      <c r="I335" s="759"/>
      <c r="J335" s="759"/>
      <c r="K335" s="759"/>
      <c r="L335" s="759"/>
      <c r="M335" s="759"/>
      <c r="N335" s="759"/>
    </row>
    <row r="336" spans="1:14">
      <c r="A336" s="759"/>
      <c r="B336" s="759"/>
      <c r="C336" s="759"/>
      <c r="D336" s="759"/>
      <c r="E336" s="759"/>
      <c r="F336" s="759"/>
      <c r="G336" s="759"/>
      <c r="H336" s="759"/>
      <c r="I336" s="759"/>
      <c r="J336" s="759"/>
      <c r="K336" s="759"/>
      <c r="L336" s="759"/>
      <c r="M336" s="759"/>
      <c r="N336" s="759"/>
    </row>
    <row r="337" spans="1:14">
      <c r="A337" s="759"/>
      <c r="B337" s="759"/>
      <c r="C337" s="759"/>
      <c r="D337" s="759"/>
      <c r="E337" s="759"/>
      <c r="F337" s="759"/>
      <c r="G337" s="759"/>
      <c r="H337" s="759"/>
      <c r="I337" s="759"/>
      <c r="J337" s="759"/>
      <c r="K337" s="759"/>
      <c r="L337" s="759"/>
      <c r="M337" s="759"/>
      <c r="N337" s="759"/>
    </row>
    <row r="338" spans="1:14">
      <c r="A338" s="759"/>
      <c r="B338" s="759"/>
      <c r="C338" s="759"/>
      <c r="D338" s="759"/>
      <c r="E338" s="759"/>
      <c r="F338" s="759"/>
      <c r="G338" s="759"/>
      <c r="H338" s="759"/>
      <c r="I338" s="759"/>
      <c r="J338" s="759"/>
      <c r="K338" s="759"/>
      <c r="L338" s="759"/>
      <c r="M338" s="759"/>
      <c r="N338" s="759"/>
    </row>
    <row r="339" spans="1:14">
      <c r="A339" s="759"/>
      <c r="B339" s="759"/>
      <c r="C339" s="759"/>
      <c r="D339" s="759"/>
      <c r="E339" s="759"/>
      <c r="F339" s="759"/>
      <c r="G339" s="759"/>
      <c r="H339" s="759"/>
      <c r="I339" s="759"/>
      <c r="J339" s="759"/>
      <c r="K339" s="759"/>
      <c r="L339" s="759"/>
      <c r="M339" s="759"/>
      <c r="N339" s="759"/>
    </row>
    <row r="340" spans="1:14">
      <c r="A340" s="759"/>
      <c r="B340" s="759"/>
      <c r="C340" s="759"/>
      <c r="D340" s="759"/>
      <c r="E340" s="759"/>
      <c r="F340" s="759"/>
      <c r="G340" s="759"/>
      <c r="H340" s="759"/>
      <c r="I340" s="759"/>
      <c r="J340" s="759"/>
      <c r="K340" s="759"/>
      <c r="L340" s="759"/>
      <c r="M340" s="759"/>
      <c r="N340" s="759"/>
    </row>
    <row r="341" spans="1:14">
      <c r="A341" s="759"/>
      <c r="B341" s="759"/>
      <c r="C341" s="759"/>
      <c r="D341" s="759"/>
      <c r="E341" s="759"/>
      <c r="F341" s="759"/>
      <c r="G341" s="759"/>
      <c r="H341" s="759"/>
      <c r="I341" s="759"/>
      <c r="J341" s="759"/>
      <c r="K341" s="759"/>
      <c r="L341" s="759"/>
      <c r="M341" s="759"/>
      <c r="N341" s="759"/>
    </row>
    <row r="342" spans="1:14">
      <c r="A342" s="759"/>
      <c r="B342" s="759"/>
      <c r="C342" s="759"/>
      <c r="D342" s="759"/>
      <c r="E342" s="759"/>
      <c r="F342" s="759"/>
      <c r="G342" s="759"/>
      <c r="H342" s="759"/>
      <c r="I342" s="759"/>
      <c r="J342" s="759"/>
      <c r="K342" s="759"/>
      <c r="L342" s="759"/>
      <c r="M342" s="759"/>
      <c r="N342" s="759"/>
    </row>
  </sheetData>
  <sheetProtection algorithmName="SHA-512" hashValue="UCqBC+WqD/M8UmeRPEB2wzrRyJ8nX50MA9+F+KPQJlZG44BiLS1d7YxyUD/FY3nC+xp5e/CXsMFYkgri//2u+g==" saltValue="O4Lrp9h31Zn6vIXy5a/r1g==" spinCount="100000" sheet="1" objects="1" scenarios="1"/>
  <conditionalFormatting sqref="B26:G28">
    <cfRule type="expression" dxfId="8" priority="1" stopIfTrue="1">
      <formula>$G$24</formula>
    </cfRule>
  </conditionalFormatting>
  <conditionalFormatting sqref="B30:G30">
    <cfRule type="expression" dxfId="7" priority="2" stopIfTrue="1">
      <formula>$G$24=0</formula>
    </cfRule>
  </conditionalFormatting>
  <conditionalFormatting sqref="A38:I41">
    <cfRule type="expression" dxfId="6" priority="3" stopIfTrue="1">
      <formula>$M$33&lt;3</formula>
    </cfRule>
  </conditionalFormatting>
  <conditionalFormatting sqref="B91:B102 I91:I102 C91:H94 C97:H97 C100:H102">
    <cfRule type="expression" dxfId="5" priority="4" stopIfTrue="1">
      <formula>$F$89=0</formula>
    </cfRule>
  </conditionalFormatting>
  <conditionalFormatting sqref="C95:H96">
    <cfRule type="expression" dxfId="4" priority="5" stopIfTrue="1">
      <formula>OR($F$89=0,$I$93=0)</formula>
    </cfRule>
  </conditionalFormatting>
  <conditionalFormatting sqref="C98:H99">
    <cfRule type="expression" dxfId="3" priority="6" stopIfTrue="1">
      <formula>OR($F$89=0,$I$93)</formula>
    </cfRule>
  </conditionalFormatting>
  <conditionalFormatting sqref="B106:G107">
    <cfRule type="expression" dxfId="2" priority="7" stopIfTrue="1">
      <formula>$H$104=0</formula>
    </cfRule>
  </conditionalFormatting>
  <conditionalFormatting sqref="K147:K157 L147:M173 A147:J173 K162:K173">
    <cfRule type="expression" dxfId="1" priority="8" stopIfTrue="1">
      <formula>$I$144&lt;&gt;1</formula>
    </cfRule>
  </conditionalFormatting>
  <conditionalFormatting sqref="A176:M222">
    <cfRule type="expression" dxfId="0" priority="9" stopIfTrue="1">
      <formula>$I$144=1</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
  <sheetViews>
    <sheetView workbookViewId="0">
      <selection activeCell="C14" sqref="C14"/>
    </sheetView>
  </sheetViews>
  <sheetFormatPr defaultRowHeight="12.75"/>
  <sheetData>
    <row r="1" spans="1:1">
      <c r="A1" s="212" t="s">
        <v>1363</v>
      </c>
    </row>
  </sheetData>
  <sheetProtection algorithmName="SHA-512" hashValue="FiYFUdL2Bf2u+H97wPJ7AiRFG+E7iBjlx848nopew8Vm7EwEr05QOjyNPoreJn7tgz4HQjvP5b+jyairzEs7Vw==" saltValue="gywwK13e3aAIeEmZ9Tgp/g==" spinCount="100000" sheet="1" objects="1" scenarios="1"/>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P81"/>
  <sheetViews>
    <sheetView showGridLines="0" zoomScaleNormal="100" workbookViewId="0">
      <selection activeCell="C14" sqref="C14"/>
    </sheetView>
  </sheetViews>
  <sheetFormatPr defaultColWidth="9.140625" defaultRowHeight="12.75"/>
  <cols>
    <col min="1" max="1" width="9.140625" style="14"/>
    <col min="2" max="2" width="9.85546875" style="14" customWidth="1"/>
    <col min="3" max="3" width="64.5703125" style="14" customWidth="1"/>
    <col min="4" max="16384" width="9.140625" style="14"/>
  </cols>
  <sheetData>
    <row r="1" spans="1:16" s="24" customFormat="1" ht="18">
      <c r="A1" s="23" t="s">
        <v>56</v>
      </c>
    </row>
    <row r="3" spans="1:16">
      <c r="C3" s="174" t="s">
        <v>57</v>
      </c>
    </row>
    <row r="4" spans="1:16">
      <c r="A4" s="25" t="s">
        <v>58</v>
      </c>
    </row>
    <row r="5" spans="1:16">
      <c r="A5" s="14" t="s">
        <v>59</v>
      </c>
      <c r="C5" s="158"/>
      <c r="G5" s="174" t="s">
        <v>2</v>
      </c>
    </row>
    <row r="6" spans="1:16">
      <c r="A6" s="14" t="s">
        <v>60</v>
      </c>
      <c r="C6" s="158"/>
      <c r="G6" s="480" t="s">
        <v>2</v>
      </c>
    </row>
    <row r="7" spans="1:16">
      <c r="A7" s="14" t="s">
        <v>61</v>
      </c>
      <c r="C7" s="158"/>
    </row>
    <row r="8" spans="1:16">
      <c r="A8" s="174" t="s">
        <v>62</v>
      </c>
      <c r="C8" s="158"/>
      <c r="G8" s="174" t="s">
        <v>2</v>
      </c>
    </row>
    <row r="9" spans="1:16">
      <c r="A9" s="14" t="s">
        <v>63</v>
      </c>
      <c r="C9" s="158"/>
      <c r="G9" s="174" t="s">
        <v>2</v>
      </c>
    </row>
    <row r="10" spans="1:16">
      <c r="A10" s="14" t="s">
        <v>64</v>
      </c>
      <c r="C10" s="158"/>
      <c r="G10" s="174" t="s">
        <v>2</v>
      </c>
    </row>
    <row r="11" spans="1:16">
      <c r="A11" s="150" t="s">
        <v>65</v>
      </c>
      <c r="C11" s="158" t="s">
        <v>66</v>
      </c>
      <c r="G11" s="174" t="s">
        <v>2</v>
      </c>
    </row>
    <row r="12" spans="1:16">
      <c r="A12" s="14" t="s">
        <v>67</v>
      </c>
      <c r="C12" s="158"/>
      <c r="G12" s="480" t="s">
        <v>2</v>
      </c>
    </row>
    <row r="13" spans="1:16">
      <c r="A13" s="150" t="s">
        <v>68</v>
      </c>
      <c r="C13" s="158"/>
      <c r="G13" s="14" t="s">
        <v>2</v>
      </c>
    </row>
    <row r="14" spans="1:16" ht="12.75" customHeight="1">
      <c r="A14" s="150" t="s">
        <v>69</v>
      </c>
      <c r="C14" s="261">
        <v>2019</v>
      </c>
      <c r="E14" s="262" t="s">
        <v>2</v>
      </c>
      <c r="F14" s="262"/>
      <c r="G14" s="262" t="s">
        <v>2</v>
      </c>
      <c r="H14" s="262"/>
      <c r="I14" s="262"/>
      <c r="J14" s="262"/>
      <c r="K14" s="262"/>
      <c r="L14" s="262"/>
      <c r="M14" s="262"/>
      <c r="N14" s="262"/>
      <c r="O14" s="262"/>
      <c r="P14" s="263"/>
    </row>
    <row r="15" spans="1:16">
      <c r="C15" s="51"/>
      <c r="E15" s="262"/>
      <c r="F15" s="262"/>
      <c r="G15" s="478" t="s">
        <v>2</v>
      </c>
      <c r="H15" s="262"/>
      <c r="I15" s="262"/>
      <c r="J15" s="262"/>
      <c r="K15" s="262"/>
      <c r="L15" s="262"/>
      <c r="M15" s="262"/>
      <c r="N15" s="262"/>
      <c r="O15" s="262"/>
      <c r="P15" s="263"/>
    </row>
    <row r="16" spans="1:16">
      <c r="A16" s="25" t="s">
        <v>70</v>
      </c>
      <c r="C16" s="51"/>
      <c r="G16" s="480" t="s">
        <v>2</v>
      </c>
    </row>
    <row r="17" spans="1:7">
      <c r="A17" s="14" t="s">
        <v>71</v>
      </c>
      <c r="C17" s="158"/>
      <c r="G17" s="14" t="s">
        <v>2</v>
      </c>
    </row>
    <row r="18" spans="1:7">
      <c r="A18" s="14" t="s">
        <v>60</v>
      </c>
      <c r="C18" s="158"/>
      <c r="G18" s="14" t="s">
        <v>2</v>
      </c>
    </row>
    <row r="19" spans="1:7">
      <c r="A19" s="14" t="s">
        <v>72</v>
      </c>
      <c r="C19" s="158"/>
      <c r="G19" s="480" t="s">
        <v>2</v>
      </c>
    </row>
    <row r="20" spans="1:7">
      <c r="A20" s="14" t="s">
        <v>73</v>
      </c>
      <c r="C20" s="158"/>
    </row>
    <row r="21" spans="1:7">
      <c r="C21" s="51"/>
    </row>
    <row r="22" spans="1:7">
      <c r="A22" s="25" t="s">
        <v>74</v>
      </c>
      <c r="C22" s="51"/>
    </row>
    <row r="23" spans="1:7">
      <c r="A23" s="14" t="s">
        <v>71</v>
      </c>
      <c r="C23" s="158"/>
    </row>
    <row r="24" spans="1:7">
      <c r="A24" s="14" t="s">
        <v>75</v>
      </c>
      <c r="C24" s="158"/>
    </row>
    <row r="25" spans="1:7">
      <c r="A25" s="14" t="s">
        <v>76</v>
      </c>
      <c r="C25" s="158"/>
    </row>
    <row r="26" spans="1:7">
      <c r="A26" s="14" t="s">
        <v>72</v>
      </c>
      <c r="C26" s="158"/>
    </row>
    <row r="27" spans="1:7">
      <c r="A27" s="14" t="s">
        <v>73</v>
      </c>
      <c r="C27" s="158"/>
    </row>
    <row r="28" spans="1:7">
      <c r="A28" s="14" t="s">
        <v>60</v>
      </c>
      <c r="C28" s="158"/>
    </row>
    <row r="29" spans="1:7">
      <c r="C29" s="51"/>
    </row>
    <row r="30" spans="1:7">
      <c r="A30" s="25" t="s">
        <v>77</v>
      </c>
      <c r="C30" s="51"/>
    </row>
    <row r="31" spans="1:7">
      <c r="C31" s="158"/>
    </row>
    <row r="32" spans="1:7">
      <c r="C32" s="158"/>
    </row>
    <row r="33" spans="1:3">
      <c r="C33" s="158"/>
    </row>
    <row r="34" spans="1:3">
      <c r="C34" s="158"/>
    </row>
    <row r="35" spans="1:3">
      <c r="C35" s="158"/>
    </row>
    <row r="36" spans="1:3">
      <c r="C36" s="158"/>
    </row>
    <row r="37" spans="1:3">
      <c r="C37" s="158"/>
    </row>
    <row r="38" spans="1:3">
      <c r="C38" s="158"/>
    </row>
    <row r="39" spans="1:3">
      <c r="C39" s="158"/>
    </row>
    <row r="40" spans="1:3">
      <c r="C40" s="158"/>
    </row>
    <row r="44" spans="1:3">
      <c r="A44" s="13" t="s">
        <v>78</v>
      </c>
    </row>
    <row r="45" spans="1:3">
      <c r="A45" s="13" t="s">
        <v>79</v>
      </c>
    </row>
    <row r="46" spans="1:3">
      <c r="A46" s="13" t="s">
        <v>66</v>
      </c>
    </row>
    <row r="47" spans="1:3">
      <c r="A47" s="14" t="s">
        <v>80</v>
      </c>
    </row>
    <row r="48" spans="1:3">
      <c r="A48" s="14" t="s">
        <v>81</v>
      </c>
    </row>
    <row r="49" spans="1:1">
      <c r="A49" s="14" t="s">
        <v>82</v>
      </c>
    </row>
    <row r="50" spans="1:1">
      <c r="A50" s="14" t="s">
        <v>83</v>
      </c>
    </row>
    <row r="51" spans="1:1">
      <c r="A51" s="14" t="s">
        <v>84</v>
      </c>
    </row>
    <row r="52" spans="1:1">
      <c r="A52" s="14" t="s">
        <v>85</v>
      </c>
    </row>
    <row r="53" spans="1:1">
      <c r="A53" s="14" t="s">
        <v>86</v>
      </c>
    </row>
    <row r="54" spans="1:1">
      <c r="A54" s="14" t="s">
        <v>87</v>
      </c>
    </row>
    <row r="55" spans="1:1">
      <c r="A55" s="14" t="s">
        <v>88</v>
      </c>
    </row>
    <row r="57" spans="1:1">
      <c r="A57" s="13" t="s">
        <v>89</v>
      </c>
    </row>
    <row r="58" spans="1:1">
      <c r="A58" s="13" t="s">
        <v>66</v>
      </c>
    </row>
    <row r="59" spans="1:1">
      <c r="A59" s="267" t="s">
        <v>90</v>
      </c>
    </row>
    <row r="60" spans="1:1">
      <c r="A60" s="267" t="s">
        <v>91</v>
      </c>
    </row>
    <row r="61" spans="1:1">
      <c r="A61" s="267" t="s">
        <v>92</v>
      </c>
    </row>
    <row r="62" spans="1:1">
      <c r="A62" s="267" t="s">
        <v>93</v>
      </c>
    </row>
    <row r="63" spans="1:1">
      <c r="A63" s="267" t="s">
        <v>94</v>
      </c>
    </row>
    <row r="64" spans="1:1">
      <c r="A64" s="267" t="s">
        <v>95</v>
      </c>
    </row>
    <row r="65" spans="1:1">
      <c r="A65" s="267" t="s">
        <v>96</v>
      </c>
    </row>
    <row r="67" spans="1:1">
      <c r="A67" s="13" t="s">
        <v>97</v>
      </c>
    </row>
    <row r="68" spans="1:1">
      <c r="A68" s="14" t="s">
        <v>66</v>
      </c>
    </row>
    <row r="69" spans="1:1">
      <c r="A69" s="14" t="s">
        <v>98</v>
      </c>
    </row>
    <row r="70" spans="1:1">
      <c r="A70" s="14" t="s">
        <v>99</v>
      </c>
    </row>
    <row r="72" spans="1:1">
      <c r="A72" s="13" t="s">
        <v>100</v>
      </c>
    </row>
    <row r="73" spans="1:1">
      <c r="A73" s="14">
        <v>2019</v>
      </c>
    </row>
    <row r="74" spans="1:1">
      <c r="A74" s="14">
        <v>2011</v>
      </c>
    </row>
    <row r="75" spans="1:1">
      <c r="A75" s="174" t="s">
        <v>101</v>
      </c>
    </row>
    <row r="76" spans="1:1">
      <c r="A76" s="51" t="s">
        <v>2</v>
      </c>
    </row>
    <row r="77" spans="1:1">
      <c r="A77" s="13" t="s">
        <v>102</v>
      </c>
    </row>
    <row r="78" spans="1:1">
      <c r="A78" s="174" t="s">
        <v>103</v>
      </c>
    </row>
    <row r="79" spans="1:1">
      <c r="A79" s="174" t="s">
        <v>104</v>
      </c>
    </row>
    <row r="80" spans="1:1">
      <c r="A80" s="174" t="s">
        <v>105</v>
      </c>
    </row>
    <row r="81" spans="1:1">
      <c r="A81" s="174" t="s">
        <v>106</v>
      </c>
    </row>
  </sheetData>
  <sheetProtection algorithmName="SHA-512" hashValue="fDmBilbnoKi4rT8tDbOkXQr/Xly9p3UPnz1b7f7PQrK24IYTw3+5opORJ4gvgMEqhZKQsyldTyJ1myq30KQhLA==" saltValue="eXe2oiLOUD70wcU/vfnyqA==" spinCount="100000" sheet="1" objects="1" scenarios="1"/>
  <phoneticPr fontId="0" type="noConversion"/>
  <dataValidations count="6">
    <dataValidation type="list" allowBlank="1" showInputMessage="1" showErrorMessage="1" sqref="C5" xr:uid="{00000000-0002-0000-0200-000000000000}">
      <formula1>$A$46:$A$55</formula1>
    </dataValidation>
    <dataValidation type="list" allowBlank="1" showInputMessage="1" showErrorMessage="1" sqref="C11" xr:uid="{00000000-0002-0000-0200-000001000000}">
      <formula1>$A$58:$A$65</formula1>
    </dataValidation>
    <dataValidation type="list" allowBlank="1" showInputMessage="1" showErrorMessage="1" sqref="C12" xr:uid="{00000000-0002-0000-0200-000002000000}">
      <formula1>$A$68:$A$70</formula1>
    </dataValidation>
    <dataValidation type="whole" operator="greaterThan" allowBlank="1" showInputMessage="1" showErrorMessage="1" sqref="C13" xr:uid="{00000000-0002-0000-0200-000003000000}">
      <formula1>1750</formula1>
    </dataValidation>
    <dataValidation type="list" operator="greaterThan" allowBlank="1" showInputMessage="1" showErrorMessage="1" sqref="C14" xr:uid="{00000000-0002-0000-0200-000004000000}">
      <formula1>$A$73:$A$75</formula1>
    </dataValidation>
    <dataValidation type="list" allowBlank="1" showInputMessage="1" showErrorMessage="1" sqref="C10" xr:uid="{00000000-0002-0000-0200-000005000000}">
      <formula1>$A$78:$A$81</formula1>
    </dataValidation>
  </dataValidation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3"/>
  <sheetViews>
    <sheetView workbookViewId="0">
      <selection activeCell="D14" sqref="D14"/>
    </sheetView>
  </sheetViews>
  <sheetFormatPr defaultColWidth="9.140625" defaultRowHeight="12.75"/>
  <cols>
    <col min="1" max="13" width="9.140625" style="7"/>
    <col min="14" max="16384" width="9.140625" style="1"/>
  </cols>
  <sheetData>
    <row r="1" spans="1:13" s="18" customFormat="1" ht="18" customHeight="1">
      <c r="A1" s="23" t="s">
        <v>107</v>
      </c>
      <c r="B1" s="26"/>
      <c r="C1" s="500"/>
      <c r="D1" s="500"/>
      <c r="E1" s="500"/>
      <c r="F1" s="27"/>
      <c r="G1" s="27"/>
      <c r="H1" s="500"/>
      <c r="I1" s="500"/>
      <c r="J1" s="500"/>
      <c r="K1" s="500"/>
      <c r="L1" s="500"/>
      <c r="M1" s="500"/>
    </row>
    <row r="2" spans="1:13" s="2" customFormat="1" ht="12.75" customHeight="1">
      <c r="A2" s="28"/>
      <c r="B2" s="28"/>
      <c r="C2" s="216"/>
      <c r="D2" s="216"/>
      <c r="E2" s="216"/>
      <c r="F2" s="216"/>
      <c r="G2" s="216"/>
      <c r="H2" s="216"/>
      <c r="I2" s="36"/>
      <c r="J2" s="216"/>
      <c r="K2" s="216"/>
      <c r="L2" s="216"/>
      <c r="M2" s="216"/>
    </row>
    <row r="3" spans="1:13" ht="12.75" customHeight="1">
      <c r="A3" s="216"/>
      <c r="B3" s="216"/>
      <c r="C3" s="501"/>
      <c r="D3" s="475" t="s">
        <v>108</v>
      </c>
      <c r="E3" s="475" t="s">
        <v>109</v>
      </c>
      <c r="F3" s="475" t="s">
        <v>110</v>
      </c>
      <c r="G3" s="29"/>
      <c r="H3" s="216"/>
      <c r="I3" s="216"/>
      <c r="J3" s="216"/>
      <c r="K3" s="216"/>
      <c r="L3" s="216"/>
      <c r="M3" s="216"/>
    </row>
    <row r="4" spans="1:13" ht="14.25">
      <c r="A4" s="216"/>
      <c r="B4" s="216"/>
      <c r="C4" s="501"/>
      <c r="D4" s="475" t="s">
        <v>111</v>
      </c>
      <c r="E4" s="475" t="s">
        <v>112</v>
      </c>
      <c r="F4" s="475" t="s">
        <v>113</v>
      </c>
      <c r="G4" s="29"/>
      <c r="H4" s="216"/>
      <c r="I4" s="216"/>
      <c r="J4" s="216"/>
      <c r="K4" s="216"/>
      <c r="L4" s="216"/>
      <c r="M4" s="216"/>
    </row>
    <row r="5" spans="1:13">
      <c r="A5" s="216" t="s">
        <v>114</v>
      </c>
      <c r="B5" s="216"/>
      <c r="C5" s="501"/>
      <c r="D5" s="502">
        <v>63</v>
      </c>
      <c r="E5" s="502">
        <v>2.4</v>
      </c>
      <c r="F5" s="503">
        <f>D5*E5</f>
        <v>151.19999999999999</v>
      </c>
      <c r="G5" s="29"/>
      <c r="H5" s="216"/>
      <c r="I5" s="216"/>
      <c r="J5" s="216"/>
      <c r="K5" s="216"/>
      <c r="L5" s="216"/>
      <c r="M5" s="216"/>
    </row>
    <row r="6" spans="1:13">
      <c r="A6" s="216" t="s">
        <v>115</v>
      </c>
      <c r="B6" s="216"/>
      <c r="C6" s="501"/>
      <c r="D6" s="502">
        <v>63</v>
      </c>
      <c r="E6" s="502">
        <v>2.7</v>
      </c>
      <c r="F6" s="503">
        <f>D6*E6</f>
        <v>170.10000000000002</v>
      </c>
      <c r="G6" s="216"/>
      <c r="H6" s="216"/>
      <c r="I6" s="216"/>
      <c r="J6" s="216"/>
      <c r="K6" s="216"/>
      <c r="L6" s="216"/>
      <c r="M6" s="216"/>
    </row>
    <row r="7" spans="1:13">
      <c r="A7" s="216" t="s">
        <v>116</v>
      </c>
      <c r="B7" s="216"/>
      <c r="C7" s="501"/>
      <c r="D7" s="502"/>
      <c r="E7" s="502"/>
      <c r="F7" s="503">
        <f>D7*E7</f>
        <v>0</v>
      </c>
      <c r="G7" s="216"/>
      <c r="H7" s="216"/>
      <c r="I7" s="216"/>
      <c r="J7" s="216"/>
      <c r="K7" s="216"/>
      <c r="L7" s="216"/>
      <c r="M7" s="216"/>
    </row>
    <row r="8" spans="1:13">
      <c r="A8" s="216" t="s">
        <v>117</v>
      </c>
      <c r="B8" s="216"/>
      <c r="C8" s="501"/>
      <c r="D8" s="502"/>
      <c r="E8" s="502"/>
      <c r="F8" s="503">
        <f>D8*E8</f>
        <v>0</v>
      </c>
      <c r="G8" s="216"/>
      <c r="H8" s="216"/>
      <c r="I8" s="216"/>
      <c r="J8" s="216"/>
      <c r="K8" s="216"/>
      <c r="L8" s="216"/>
      <c r="M8" s="216"/>
    </row>
    <row r="9" spans="1:13" ht="14.25">
      <c r="A9" s="216" t="s">
        <v>118</v>
      </c>
      <c r="B9" s="216"/>
      <c r="C9" s="501"/>
      <c r="D9" s="504">
        <f>SUM(D5:D8)</f>
        <v>126</v>
      </c>
      <c r="E9" s="475"/>
      <c r="F9" s="503"/>
      <c r="G9" s="216"/>
      <c r="H9" s="216"/>
      <c r="I9" s="216"/>
      <c r="J9" s="216"/>
      <c r="K9" s="216"/>
      <c r="L9" s="216"/>
      <c r="M9" s="216"/>
    </row>
    <row r="10" spans="1:13" ht="14.25">
      <c r="A10" s="216" t="s">
        <v>119</v>
      </c>
      <c r="B10" s="216"/>
      <c r="C10" s="501"/>
      <c r="D10" s="475"/>
      <c r="E10" s="475"/>
      <c r="F10" s="504">
        <f>SUM(F5:F8)</f>
        <v>321.3</v>
      </c>
      <c r="G10" s="216"/>
      <c r="H10" s="216"/>
      <c r="I10" s="216"/>
      <c r="J10" s="216"/>
      <c r="K10" s="216"/>
      <c r="L10" s="216"/>
      <c r="M10" s="216"/>
    </row>
    <row r="11" spans="1:13">
      <c r="A11" s="30"/>
      <c r="B11" s="30"/>
      <c r="C11" s="30"/>
      <c r="D11" s="30"/>
      <c r="E11" s="30"/>
      <c r="F11" s="216"/>
      <c r="G11" s="216"/>
      <c r="H11" s="216"/>
      <c r="I11" s="216"/>
      <c r="J11" s="216"/>
      <c r="K11" s="216"/>
      <c r="L11" s="216"/>
      <c r="M11" s="216"/>
    </row>
    <row r="12" spans="1:13" ht="14.25">
      <c r="A12" s="216"/>
      <c r="B12" s="216"/>
      <c r="C12" s="501"/>
      <c r="D12" s="216" t="s">
        <v>111</v>
      </c>
      <c r="E12" s="216" t="s">
        <v>120</v>
      </c>
      <c r="F12" s="216"/>
      <c r="G12" s="216"/>
      <c r="H12" s="216"/>
      <c r="I12" s="216"/>
      <c r="J12" s="216"/>
      <c r="K12" s="216"/>
      <c r="L12" s="216"/>
      <c r="M12" s="216"/>
    </row>
    <row r="13" spans="1:13">
      <c r="A13" s="501" t="s">
        <v>121</v>
      </c>
      <c r="B13" s="501"/>
      <c r="C13" s="501"/>
      <c r="D13" s="505">
        <v>31.5</v>
      </c>
      <c r="E13" s="506">
        <f>IF(tfa,D13/tfa,0)</f>
        <v>0.25</v>
      </c>
      <c r="F13" s="216"/>
      <c r="G13" s="216"/>
      <c r="H13" s="216"/>
      <c r="I13" s="216"/>
      <c r="J13" s="216"/>
      <c r="K13" s="216"/>
      <c r="L13" s="216"/>
      <c r="M13" s="216"/>
    </row>
  </sheetData>
  <sheetProtection algorithmName="SHA-512" hashValue="Z4yUhgVCHHhHW41/mTT4/GGMy7H5LHnWLtTGkx+UThOzIfDrh4Q5wEH7z2nuCj8PGl9jIcyWdWExEijEHswhqQ==" saltValue="UVfour/p6pajfNcyEjF+Mg==" spinCount="100000" sheet="1" objects="1" scenarios="1"/>
  <phoneticPr fontId="0" type="noConversion"/>
  <pageMargins left="0.75" right="0.75" top="1" bottom="1" header="0.5" footer="0.5"/>
  <pageSetup paperSize="9" scale="74"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X90"/>
  <sheetViews>
    <sheetView workbookViewId="0">
      <selection activeCell="D31" sqref="D31:I31"/>
    </sheetView>
  </sheetViews>
  <sheetFormatPr defaultColWidth="9.140625" defaultRowHeight="12.75"/>
  <cols>
    <col min="1" max="5" width="9.140625" style="20"/>
    <col min="6" max="6" width="17" style="20" customWidth="1"/>
    <col min="7" max="7" width="33.7109375" style="20" customWidth="1"/>
    <col min="8" max="8" width="16" style="20" customWidth="1"/>
    <col min="9" max="9" width="17.28515625" style="20" customWidth="1"/>
    <col min="10" max="12" width="9.140625" style="20"/>
    <col min="13" max="13" width="16.42578125" style="20" customWidth="1"/>
    <col min="14" max="14" width="10.5703125" style="20" bestFit="1" customWidth="1"/>
    <col min="15" max="15" width="12.140625" style="14" customWidth="1"/>
    <col min="16" max="16" width="12.140625" style="692" customWidth="1"/>
    <col min="17" max="17" width="9.140625" style="14" customWidth="1"/>
    <col min="18" max="16384" width="9.140625" style="14"/>
  </cols>
  <sheetData>
    <row r="1" spans="1:18" s="65" customFormat="1" ht="18" customHeight="1">
      <c r="A1" s="23" t="s">
        <v>122</v>
      </c>
      <c r="B1" s="26"/>
      <c r="C1" s="500"/>
      <c r="D1" s="500"/>
      <c r="E1" s="500"/>
      <c r="F1" s="27"/>
      <c r="G1" s="27"/>
      <c r="H1" s="500"/>
      <c r="I1" s="500"/>
      <c r="J1" s="500"/>
      <c r="K1" s="500"/>
      <c r="L1" s="500"/>
      <c r="M1" s="507"/>
      <c r="P1" s="689" t="s">
        <v>350</v>
      </c>
    </row>
    <row r="2" spans="1:18">
      <c r="A2" s="28"/>
      <c r="B2" s="28"/>
      <c r="C2" s="216"/>
      <c r="D2" s="216"/>
      <c r="E2" s="216"/>
      <c r="F2" s="174"/>
      <c r="G2" s="218"/>
      <c r="H2" s="216"/>
      <c r="I2" s="216"/>
      <c r="J2" s="216"/>
      <c r="K2" s="216"/>
      <c r="L2" s="216"/>
      <c r="M2" s="216"/>
      <c r="N2" s="216"/>
      <c r="O2" s="30"/>
      <c r="P2" s="689"/>
    </row>
    <row r="3" spans="1:18" ht="14.25">
      <c r="A3" s="28" t="s">
        <v>123</v>
      </c>
      <c r="B3" s="28"/>
      <c r="C3" s="216"/>
      <c r="D3" s="216"/>
      <c r="E3" s="508"/>
      <c r="F3" s="475"/>
      <c r="G3" s="475" t="s">
        <v>124</v>
      </c>
      <c r="H3" s="475" t="s">
        <v>125</v>
      </c>
      <c r="I3" s="216"/>
      <c r="J3" s="216"/>
      <c r="K3" s="216"/>
      <c r="L3" s="216"/>
      <c r="M3" s="216"/>
      <c r="N3" s="216"/>
      <c r="O3" s="30"/>
      <c r="P3" s="689"/>
    </row>
    <row r="4" spans="1:18">
      <c r="A4" s="216" t="s">
        <v>126</v>
      </c>
      <c r="B4" s="216"/>
      <c r="C4" s="216"/>
      <c r="D4" s="216"/>
      <c r="E4" s="508"/>
      <c r="F4" s="502">
        <v>0</v>
      </c>
      <c r="G4" s="475">
        <f>F4*40</f>
        <v>0</v>
      </c>
      <c r="H4" s="508"/>
      <c r="I4" s="216"/>
      <c r="K4" s="216"/>
      <c r="L4" s="216"/>
      <c r="M4" s="662"/>
      <c r="N4" s="216"/>
      <c r="O4" s="30"/>
      <c r="P4" s="689">
        <f>40*1</f>
        <v>40</v>
      </c>
      <c r="R4" s="662" t="s">
        <v>2</v>
      </c>
    </row>
    <row r="5" spans="1:18">
      <c r="A5" s="216" t="s">
        <v>127</v>
      </c>
      <c r="B5" s="216"/>
      <c r="C5" s="216"/>
      <c r="D5" s="216"/>
      <c r="E5" s="508"/>
      <c r="F5" s="502">
        <v>0</v>
      </c>
      <c r="G5" s="475">
        <f>F5*20</f>
        <v>0</v>
      </c>
      <c r="H5" s="475"/>
      <c r="I5" s="216"/>
      <c r="K5" s="216"/>
      <c r="L5" s="216"/>
      <c r="M5" s="216"/>
      <c r="N5" s="216"/>
      <c r="O5" s="30"/>
      <c r="P5" s="689"/>
      <c r="R5" s="662" t="s">
        <v>2</v>
      </c>
    </row>
    <row r="6" spans="1:18">
      <c r="A6" s="216" t="s">
        <v>128</v>
      </c>
      <c r="B6" s="216"/>
      <c r="C6" s="216"/>
      <c r="D6" s="216"/>
      <c r="E6" s="508"/>
      <c r="F6" s="502">
        <v>3</v>
      </c>
      <c r="G6" s="475">
        <f>F6*10</f>
        <v>30</v>
      </c>
      <c r="H6" s="475"/>
      <c r="I6" s="216"/>
      <c r="J6" s="662"/>
      <c r="K6" s="216"/>
      <c r="L6" s="216"/>
      <c r="M6" s="216"/>
      <c r="N6" s="216"/>
      <c r="O6" s="30"/>
      <c r="P6" s="689">
        <f>IF(tfa&gt;100,3,2)*10</f>
        <v>30</v>
      </c>
      <c r="R6" s="662" t="s">
        <v>2</v>
      </c>
    </row>
    <row r="7" spans="1:18">
      <c r="A7" s="216" t="s">
        <v>129</v>
      </c>
      <c r="B7" s="216"/>
      <c r="C7" s="216"/>
      <c r="D7" s="216"/>
      <c r="E7" s="508"/>
      <c r="F7" s="502">
        <v>0</v>
      </c>
      <c r="G7" s="475">
        <f>F7*40</f>
        <v>0</v>
      </c>
      <c r="H7" s="475"/>
      <c r="I7" s="216"/>
      <c r="J7" s="216"/>
      <c r="K7" s="216"/>
      <c r="L7" s="216"/>
      <c r="M7" s="216"/>
      <c r="N7" s="216"/>
      <c r="O7" s="30"/>
      <c r="P7" s="689"/>
    </row>
    <row r="8" spans="1:18">
      <c r="A8" s="216" t="s">
        <v>130</v>
      </c>
      <c r="B8" s="216"/>
      <c r="C8" s="216"/>
      <c r="D8" s="216"/>
      <c r="E8" s="508"/>
      <c r="F8" s="217"/>
      <c r="G8" s="503">
        <f>SUM(G4:G7)</f>
        <v>30</v>
      </c>
      <c r="H8" s="475"/>
      <c r="I8" s="216"/>
      <c r="J8" s="216"/>
      <c r="K8" s="216"/>
      <c r="L8" s="216"/>
      <c r="M8" s="216"/>
      <c r="N8" s="216"/>
      <c r="O8" s="30"/>
      <c r="P8" s="689">
        <f>SUM(P4:P7)</f>
        <v>70</v>
      </c>
    </row>
    <row r="9" spans="1:18">
      <c r="A9" s="220" t="s">
        <v>131</v>
      </c>
      <c r="B9" s="220"/>
      <c r="C9" s="216"/>
      <c r="D9" s="216"/>
      <c r="E9" s="502" t="s">
        <v>99</v>
      </c>
      <c r="F9" s="217">
        <f>VLOOKUP(E9,$A$64:$B$66,2,FALSE)</f>
        <v>0</v>
      </c>
      <c r="G9" s="508"/>
      <c r="H9" s="475">
        <f>IF(F9=1,0,0.05)</f>
        <v>0.05</v>
      </c>
      <c r="I9" s="216"/>
      <c r="J9" s="216"/>
      <c r="K9" s="216"/>
      <c r="L9" s="216"/>
      <c r="M9" s="216"/>
      <c r="N9" s="216"/>
      <c r="O9" s="30"/>
      <c r="P9" s="689">
        <v>0.05</v>
      </c>
      <c r="R9" s="480" t="s">
        <v>2</v>
      </c>
    </row>
    <row r="10" spans="1:18">
      <c r="A10" s="216" t="s">
        <v>132</v>
      </c>
      <c r="B10" s="216"/>
      <c r="C10" s="216"/>
      <c r="D10" s="216"/>
      <c r="E10" s="508"/>
      <c r="F10" s="217"/>
      <c r="G10" s="475"/>
      <c r="H10" s="509">
        <f>IF(volume=0,0,G8/volume+H9)</f>
        <v>0.14337068160597571</v>
      </c>
      <c r="I10" s="216"/>
      <c r="J10" s="216"/>
      <c r="K10" s="216"/>
      <c r="L10" s="216"/>
      <c r="M10" s="216"/>
      <c r="N10" s="216"/>
      <c r="O10" s="30"/>
      <c r="P10" s="690">
        <f>P8/volume+P9</f>
        <v>0.26786492374727666</v>
      </c>
    </row>
    <row r="11" spans="1:18">
      <c r="A11" s="216"/>
      <c r="B11" s="216"/>
      <c r="C11" s="216"/>
      <c r="D11" s="174"/>
      <c r="E11" s="508"/>
      <c r="F11" s="217"/>
      <c r="G11" s="508"/>
      <c r="H11" s="508"/>
      <c r="I11" s="216"/>
      <c r="J11" s="216"/>
      <c r="K11" s="216"/>
      <c r="L11" s="216"/>
      <c r="M11" s="216"/>
      <c r="N11" s="216"/>
      <c r="O11" s="30"/>
      <c r="P11" s="689"/>
    </row>
    <row r="12" spans="1:18">
      <c r="A12" s="28" t="s">
        <v>133</v>
      </c>
      <c r="B12" s="28"/>
      <c r="C12" s="216"/>
      <c r="D12" s="216"/>
      <c r="E12" s="475"/>
      <c r="F12" s="475"/>
      <c r="G12" s="475"/>
      <c r="H12" s="475" t="s">
        <v>125</v>
      </c>
      <c r="I12" s="216"/>
      <c r="J12" s="216"/>
      <c r="K12" s="216"/>
      <c r="L12" s="216"/>
      <c r="M12" s="216"/>
      <c r="N12" s="216"/>
      <c r="O12" s="30"/>
      <c r="P12" s="689"/>
    </row>
    <row r="13" spans="1:18">
      <c r="A13" s="220" t="s">
        <v>134</v>
      </c>
      <c r="B13" s="174"/>
      <c r="C13" s="220"/>
      <c r="D13" s="216"/>
      <c r="E13" s="216"/>
      <c r="F13" s="475"/>
      <c r="G13" s="502">
        <v>2</v>
      </c>
      <c r="H13" s="475">
        <f>(G13-1)*0.1</f>
        <v>0.1</v>
      </c>
      <c r="I13" s="216"/>
      <c r="J13" s="216"/>
      <c r="K13" s="216"/>
      <c r="L13" s="216"/>
      <c r="M13" s="216"/>
      <c r="N13" s="216"/>
      <c r="O13" s="30"/>
      <c r="P13" s="689"/>
    </row>
    <row r="14" spans="1:18">
      <c r="A14" s="216" t="s">
        <v>135</v>
      </c>
      <c r="B14" s="216"/>
      <c r="C14" s="216"/>
      <c r="D14" s="216"/>
      <c r="E14" s="475"/>
      <c r="F14" s="502" t="s">
        <v>98</v>
      </c>
      <c r="G14" s="217">
        <f>VLOOKUP(F14,$A$64:$B$66,2,FALSE)</f>
        <v>1</v>
      </c>
      <c r="H14" s="475"/>
      <c r="I14" s="174"/>
      <c r="J14" s="174"/>
      <c r="K14" s="174"/>
      <c r="L14" s="174"/>
      <c r="M14" s="174"/>
      <c r="N14" s="174"/>
      <c r="P14" s="689"/>
    </row>
    <row r="15" spans="1:18">
      <c r="A15" s="59" t="s">
        <v>136</v>
      </c>
      <c r="B15" s="216"/>
      <c r="C15" s="216"/>
      <c r="D15" s="216"/>
      <c r="E15" s="507"/>
      <c r="F15" s="475"/>
      <c r="G15" s="475"/>
      <c r="H15" s="174"/>
      <c r="I15" s="174"/>
      <c r="J15" s="174"/>
      <c r="K15" s="174"/>
      <c r="L15" s="174"/>
      <c r="M15" s="174"/>
      <c r="N15" s="174"/>
      <c r="P15" s="689"/>
    </row>
    <row r="16" spans="1:18">
      <c r="A16" s="216"/>
      <c r="B16" s="220" t="s">
        <v>137</v>
      </c>
      <c r="C16" s="220"/>
      <c r="D16" s="220"/>
      <c r="E16" s="216"/>
      <c r="F16" s="831" t="s">
        <v>138</v>
      </c>
      <c r="G16" s="831"/>
      <c r="H16" s="510">
        <f>VLOOKUP(F16,A69:C71,3,FALSE)</f>
        <v>0.35</v>
      </c>
      <c r="I16" s="174"/>
      <c r="J16" s="174"/>
      <c r="K16" s="174"/>
      <c r="L16" s="174"/>
      <c r="M16" s="174"/>
      <c r="N16" s="174"/>
      <c r="P16" s="689"/>
    </row>
    <row r="17" spans="1:24">
      <c r="A17" s="216"/>
      <c r="B17" s="220" t="s">
        <v>139</v>
      </c>
      <c r="C17" s="220"/>
      <c r="D17" s="216"/>
      <c r="E17" s="216"/>
      <c r="F17" s="831" t="s">
        <v>15</v>
      </c>
      <c r="G17" s="832"/>
      <c r="H17" s="475">
        <f>VLOOKUP(F17,A74:C77,3,FALSE)</f>
        <v>0</v>
      </c>
      <c r="I17" s="216"/>
      <c r="J17" s="174"/>
      <c r="K17" s="216"/>
      <c r="L17" s="216"/>
      <c r="M17" s="216"/>
      <c r="N17" s="216"/>
      <c r="O17" s="30"/>
      <c r="P17" s="689"/>
    </row>
    <row r="18" spans="1:24">
      <c r="A18" s="216"/>
      <c r="B18" s="220" t="s">
        <v>140</v>
      </c>
      <c r="C18" s="220"/>
      <c r="D18" s="216"/>
      <c r="E18" s="216"/>
      <c r="F18" s="475"/>
      <c r="G18" s="502">
        <v>100</v>
      </c>
      <c r="H18" s="475">
        <f>0.25-(0.2*(G18/100))</f>
        <v>4.9999999999999989E-2</v>
      </c>
      <c r="I18" s="174" t="s">
        <v>2</v>
      </c>
      <c r="J18" s="174"/>
      <c r="K18" s="216"/>
      <c r="L18" s="216"/>
      <c r="M18" s="216"/>
      <c r="N18" s="216"/>
      <c r="O18" s="30"/>
      <c r="P18" s="689"/>
    </row>
    <row r="19" spans="1:24">
      <c r="A19" s="216"/>
      <c r="B19" s="220" t="s">
        <v>141</v>
      </c>
      <c r="C19" s="220"/>
      <c r="D19" s="216"/>
      <c r="E19" s="216"/>
      <c r="F19" s="475"/>
      <c r="G19" s="217"/>
      <c r="H19" s="509">
        <f>H13+SUM(H16:H18)</f>
        <v>0.5</v>
      </c>
      <c r="I19" s="216" t="s">
        <v>2</v>
      </c>
      <c r="J19" s="174"/>
      <c r="K19" s="216"/>
      <c r="L19" s="216"/>
      <c r="M19" s="216"/>
      <c r="N19" s="216"/>
      <c r="O19" s="30"/>
      <c r="P19" s="689"/>
    </row>
    <row r="20" spans="1:24">
      <c r="A20" s="59" t="s">
        <v>142</v>
      </c>
      <c r="B20" s="216"/>
      <c r="C20" s="174"/>
      <c r="D20" s="174"/>
      <c r="E20" s="174"/>
      <c r="F20" s="174"/>
      <c r="G20" s="174"/>
      <c r="H20" s="174"/>
      <c r="I20" s="216"/>
      <c r="J20" s="216"/>
      <c r="K20" s="216"/>
      <c r="L20" s="216"/>
      <c r="M20" s="216"/>
      <c r="N20" s="216"/>
      <c r="O20" s="30"/>
      <c r="P20" s="689"/>
    </row>
    <row r="21" spans="1:24">
      <c r="A21" s="174"/>
      <c r="B21" s="479" t="s">
        <v>1481</v>
      </c>
      <c r="C21" s="216"/>
      <c r="D21" s="216"/>
      <c r="E21" s="507"/>
      <c r="F21" s="475"/>
      <c r="G21" s="475"/>
      <c r="H21" s="255">
        <v>123456789</v>
      </c>
      <c r="I21" s="216"/>
      <c r="J21" s="216"/>
      <c r="K21" s="216"/>
      <c r="L21" s="216"/>
      <c r="M21" s="216"/>
      <c r="N21" s="216"/>
      <c r="O21" s="30"/>
      <c r="P21" s="689"/>
    </row>
    <row r="22" spans="1:24" ht="14.25">
      <c r="A22" s="216"/>
      <c r="B22" s="216" t="s">
        <v>1490</v>
      </c>
      <c r="C22" s="216"/>
      <c r="D22" s="216"/>
      <c r="E22" s="216"/>
      <c r="F22" s="475"/>
      <c r="G22" s="475"/>
      <c r="H22" s="255">
        <v>5</v>
      </c>
      <c r="I22" s="216" t="s">
        <v>1491</v>
      </c>
      <c r="J22" s="216"/>
      <c r="K22" s="216"/>
      <c r="L22" s="216"/>
      <c r="M22" s="216"/>
      <c r="N22" s="216"/>
      <c r="O22" s="30"/>
      <c r="P22" s="689"/>
    </row>
    <row r="23" spans="1:24" ht="13.5" thickBot="1">
      <c r="A23" s="216"/>
      <c r="B23" s="220" t="s">
        <v>143</v>
      </c>
      <c r="C23" s="216"/>
      <c r="D23" s="216"/>
      <c r="E23" s="216"/>
      <c r="F23" s="475"/>
      <c r="G23" s="475"/>
      <c r="H23" s="511">
        <f>H22/20</f>
        <v>0.25</v>
      </c>
      <c r="I23" s="216" t="s">
        <v>1492</v>
      </c>
      <c r="J23" s="216"/>
      <c r="K23" s="216"/>
      <c r="L23" s="216"/>
      <c r="M23" s="216"/>
      <c r="N23" s="216"/>
      <c r="O23" s="30"/>
      <c r="P23" s="689"/>
    </row>
    <row r="24" spans="1:24" ht="13.5" thickBot="1">
      <c r="A24" s="59" t="s">
        <v>144</v>
      </c>
      <c r="B24" s="216"/>
      <c r="C24" s="216"/>
      <c r="D24" s="216"/>
      <c r="E24" s="216"/>
      <c r="F24" s="475"/>
      <c r="G24" s="475"/>
      <c r="H24" s="161" t="s">
        <v>145</v>
      </c>
      <c r="I24" s="162"/>
      <c r="J24" s="162"/>
      <c r="K24" s="162"/>
      <c r="L24" s="162"/>
      <c r="M24" s="165" t="str">
        <f>IF(TGDL="N/A","N/A",IF(F14&lt;&gt;"Yes","Does Not Comply",IF(A88,"Does Not Comply", IF(A90,"Complies"," "))))</f>
        <v>Complies</v>
      </c>
      <c r="N24" s="160"/>
      <c r="O24" s="30"/>
      <c r="P24" s="689"/>
    </row>
    <row r="25" spans="1:24" ht="13.5" customHeight="1">
      <c r="A25" s="220" t="s">
        <v>146</v>
      </c>
      <c r="B25" s="174"/>
      <c r="C25" s="174"/>
      <c r="D25" s="174"/>
      <c r="E25" s="174"/>
      <c r="F25" s="508"/>
      <c r="G25" s="512">
        <f>IF(G14,H23,H19)</f>
        <v>0.25</v>
      </c>
      <c r="H25" s="174"/>
      <c r="I25" s="159"/>
      <c r="J25" s="159"/>
      <c r="K25" s="159"/>
      <c r="L25" s="159"/>
      <c r="M25" s="159"/>
      <c r="N25" s="159"/>
      <c r="O25" s="30"/>
      <c r="P25" s="689">
        <v>0.5</v>
      </c>
    </row>
    <row r="26" spans="1:24" ht="12.75" customHeight="1">
      <c r="A26" s="220" t="s">
        <v>147</v>
      </c>
      <c r="B26" s="220"/>
      <c r="C26" s="216"/>
      <c r="D26" s="216"/>
      <c r="E26" s="507"/>
      <c r="F26" s="509"/>
      <c r="G26" s="509">
        <f>H10+G25</f>
        <v>0.39337068160597571</v>
      </c>
      <c r="H26" s="216"/>
      <c r="I26" s="159"/>
      <c r="J26" s="159"/>
      <c r="K26" s="159"/>
      <c r="L26" s="159"/>
      <c r="M26" s="159"/>
      <c r="N26" s="159"/>
      <c r="O26" s="30"/>
      <c r="P26" s="690">
        <f>P10+P25</f>
        <v>0.76786492374727666</v>
      </c>
    </row>
    <row r="27" spans="1:24">
      <c r="A27" s="174"/>
      <c r="B27" s="174"/>
      <c r="C27" s="174"/>
      <c r="D27" s="174"/>
      <c r="E27" s="174"/>
      <c r="F27" s="508"/>
      <c r="G27" s="508"/>
      <c r="H27" s="216"/>
      <c r="I27" s="159"/>
      <c r="J27" s="159"/>
      <c r="K27" s="159"/>
      <c r="L27" s="159"/>
      <c r="M27" s="159"/>
      <c r="N27" s="159"/>
      <c r="O27" s="30"/>
      <c r="P27" s="689"/>
    </row>
    <row r="28" spans="1:24">
      <c r="A28" s="216" t="s">
        <v>148</v>
      </c>
      <c r="B28" s="216"/>
      <c r="C28" s="216"/>
      <c r="D28" s="216"/>
      <c r="E28" s="216"/>
      <c r="F28" s="508"/>
      <c r="G28" s="502">
        <v>2</v>
      </c>
      <c r="H28" s="220" t="s">
        <v>149</v>
      </c>
      <c r="I28" s="216"/>
      <c r="J28" s="174"/>
      <c r="K28" s="216"/>
      <c r="L28" s="216"/>
      <c r="M28" s="216"/>
      <c r="N28" s="216"/>
      <c r="O28" s="30"/>
      <c r="P28" s="689">
        <v>2</v>
      </c>
      <c r="X28" s="174"/>
    </row>
    <row r="29" spans="1:24">
      <c r="A29" s="216" t="s">
        <v>150</v>
      </c>
      <c r="B29" s="216"/>
      <c r="C29" s="216"/>
      <c r="D29" s="216"/>
      <c r="E29" s="216"/>
      <c r="F29" s="508"/>
      <c r="G29" s="509">
        <f>G26*(1-G28*0.075)</f>
        <v>0.33436507936507937</v>
      </c>
      <c r="H29" s="475"/>
      <c r="I29" s="216"/>
      <c r="J29" s="216"/>
      <c r="K29" s="216"/>
      <c r="L29" s="216"/>
      <c r="M29" s="216"/>
      <c r="N29" s="216"/>
      <c r="O29" s="30"/>
      <c r="P29" s="690">
        <f>P26*(1-P28*0.075)</f>
        <v>0.65268518518518515</v>
      </c>
      <c r="R29" s="480" t="s">
        <v>2</v>
      </c>
      <c r="W29" s="14" t="s">
        <v>2</v>
      </c>
    </row>
    <row r="30" spans="1:24">
      <c r="A30" s="216"/>
      <c r="B30" s="216"/>
      <c r="C30" s="216"/>
      <c r="D30" s="216"/>
      <c r="E30" s="216"/>
      <c r="F30" s="508"/>
      <c r="G30" s="475"/>
      <c r="H30" s="509"/>
      <c r="I30" s="216"/>
      <c r="J30" s="216"/>
      <c r="K30" s="216"/>
      <c r="L30" s="216"/>
      <c r="M30" s="216"/>
      <c r="N30" s="216"/>
      <c r="O30" s="30"/>
      <c r="P30" s="689"/>
    </row>
    <row r="31" spans="1:24">
      <c r="A31" s="28" t="s">
        <v>151</v>
      </c>
      <c r="B31" s="28"/>
      <c r="C31" s="216"/>
      <c r="D31" s="833" t="s">
        <v>181</v>
      </c>
      <c r="E31" s="834"/>
      <c r="F31" s="834"/>
      <c r="G31" s="834"/>
      <c r="H31" s="834"/>
      <c r="I31" s="834"/>
      <c r="J31" s="508" t="s">
        <v>153</v>
      </c>
      <c r="K31" s="217">
        <f>VLOOKUP(D31,A54:G61,7,FALSE)</f>
        <v>1</v>
      </c>
      <c r="L31" s="174"/>
      <c r="M31" s="216"/>
      <c r="N31" s="216"/>
      <c r="O31" s="30"/>
      <c r="P31" s="689">
        <v>1</v>
      </c>
    </row>
    <row r="32" spans="1:24">
      <c r="A32" s="216" t="s">
        <v>1493</v>
      </c>
      <c r="B32" s="28"/>
      <c r="C32" s="28"/>
      <c r="D32" s="28"/>
      <c r="E32" s="28"/>
      <c r="F32" s="28"/>
      <c r="G32" s="505">
        <v>0</v>
      </c>
      <c r="H32" s="216" t="s">
        <v>154</v>
      </c>
      <c r="I32" s="28"/>
      <c r="J32" s="28"/>
      <c r="K32" s="217"/>
      <c r="L32" s="174"/>
      <c r="M32" s="216"/>
      <c r="N32" s="216"/>
      <c r="O32" s="30"/>
      <c r="P32" s="689"/>
    </row>
    <row r="33" spans="1:22">
      <c r="A33" s="216" t="s">
        <v>155</v>
      </c>
      <c r="B33" s="216"/>
      <c r="C33" s="216"/>
      <c r="D33" s="216"/>
      <c r="E33" s="216"/>
      <c r="F33" s="174"/>
      <c r="G33" s="509">
        <f>VLOOKUP(K31,$G$54:$H$61,2,FALSE)</f>
        <v>0.55590000314940791</v>
      </c>
      <c r="H33" s="513"/>
      <c r="I33" s="174"/>
      <c r="J33" s="174"/>
      <c r="K33" s="174"/>
      <c r="L33" s="481" t="s">
        <v>156</v>
      </c>
      <c r="M33" s="174" t="s">
        <v>157</v>
      </c>
      <c r="N33" s="482" t="str">
        <f>IF(K31=7,G32/(0.5*volume),"N/A")</f>
        <v>N/A</v>
      </c>
      <c r="O33" s="30"/>
      <c r="P33" s="690">
        <f>IF(P29&gt;1,P29,0.5+(P29^2)*0.5)</f>
        <v>0.71299897548010971</v>
      </c>
      <c r="V33" s="174" t="s">
        <v>2</v>
      </c>
    </row>
    <row r="34" spans="1:22">
      <c r="A34" s="216" t="s">
        <v>158</v>
      </c>
      <c r="B34" s="216"/>
      <c r="C34" s="216"/>
      <c r="D34" s="216"/>
      <c r="E34" s="216"/>
      <c r="F34" s="174"/>
      <c r="G34" s="504">
        <f>0.33*G33*volume</f>
        <v>58.941521433928571</v>
      </c>
      <c r="H34" s="216"/>
      <c r="I34" s="174"/>
      <c r="J34" s="174"/>
      <c r="K34" s="174"/>
      <c r="L34" s="481" t="s">
        <v>159</v>
      </c>
      <c r="M34" s="174" t="s">
        <v>160</v>
      </c>
      <c r="N34" s="483" t="str">
        <f>IF(K31=7,HP!B29*365,"N/A")</f>
        <v>N/A</v>
      </c>
      <c r="O34" s="30"/>
      <c r="P34" s="691">
        <f>0.33*P33*volume</f>
        <v>75.598568371180562</v>
      </c>
    </row>
    <row r="35" spans="1:22">
      <c r="A35" s="216"/>
      <c r="B35" s="216"/>
      <c r="C35" s="216"/>
      <c r="D35" s="216"/>
      <c r="E35" s="216"/>
      <c r="F35" s="174"/>
      <c r="G35" s="508"/>
      <c r="H35" s="216"/>
      <c r="I35" s="216"/>
      <c r="J35" s="174"/>
      <c r="K35" s="174"/>
      <c r="L35" s="481" t="s">
        <v>161</v>
      </c>
      <c r="M35" s="174" t="s">
        <v>162</v>
      </c>
      <c r="N35" s="482" t="str">
        <f>IF(K31=7,IF(N33&lt;1,1,((8760-N34)+(N33*N34))/8760),"N/A")</f>
        <v>N/A</v>
      </c>
      <c r="O35" s="30"/>
      <c r="P35" s="689"/>
    </row>
    <row r="36" spans="1:22">
      <c r="A36" s="216" t="s">
        <v>163</v>
      </c>
      <c r="B36" s="216"/>
      <c r="C36" s="216"/>
      <c r="D36" s="216"/>
      <c r="E36" s="216"/>
      <c r="F36" s="174"/>
      <c r="G36" s="508"/>
      <c r="H36" s="216"/>
      <c r="I36" s="216"/>
      <c r="J36" s="174"/>
      <c r="K36" s="174"/>
      <c r="L36" s="174"/>
      <c r="M36" s="216"/>
      <c r="N36" s="216"/>
      <c r="O36" s="30"/>
      <c r="P36" s="689"/>
    </row>
    <row r="37" spans="1:22">
      <c r="A37" s="216"/>
      <c r="B37" s="216" t="s">
        <v>1400</v>
      </c>
      <c r="C37" s="216"/>
      <c r="D37" s="216"/>
      <c r="E37" s="216"/>
      <c r="F37" s="174"/>
      <c r="G37" s="508"/>
      <c r="H37" s="502" t="s">
        <v>98</v>
      </c>
      <c r="I37" s="217">
        <f>VLOOKUP(H37,$A$64:$B$66,2,FALSE)</f>
        <v>1</v>
      </c>
      <c r="J37" s="174"/>
      <c r="K37" s="174"/>
      <c r="L37" s="174"/>
      <c r="M37" s="216"/>
      <c r="N37" s="216"/>
      <c r="O37" s="30"/>
      <c r="P37" s="689"/>
    </row>
    <row r="38" spans="1:22">
      <c r="A38" s="216"/>
      <c r="B38" s="216" t="s">
        <v>164</v>
      </c>
      <c r="C38" s="174"/>
      <c r="D38" s="174"/>
      <c r="E38" s="174"/>
      <c r="F38" s="174"/>
      <c r="G38" s="174"/>
      <c r="H38" s="174"/>
      <c r="I38" s="216"/>
      <c r="J38" s="174"/>
      <c r="K38" s="174"/>
      <c r="L38" s="174"/>
      <c r="M38" s="216"/>
      <c r="N38" s="216"/>
      <c r="O38" s="30"/>
      <c r="P38" s="689"/>
    </row>
    <row r="39" spans="1:22">
      <c r="A39" s="216"/>
      <c r="B39" s="216"/>
      <c r="C39" s="216" t="s">
        <v>165</v>
      </c>
      <c r="D39" s="216"/>
      <c r="E39" s="216"/>
      <c r="F39" s="174"/>
      <c r="G39" s="508"/>
      <c r="H39" s="505"/>
      <c r="I39" s="216"/>
      <c r="J39" s="174"/>
      <c r="K39" s="174"/>
      <c r="L39" s="174"/>
      <c r="M39" s="216"/>
      <c r="N39" s="216"/>
      <c r="O39" s="30"/>
      <c r="P39" s="689"/>
    </row>
    <row r="40" spans="1:22">
      <c r="A40" s="174"/>
      <c r="B40" s="216"/>
      <c r="C40" s="267" t="s">
        <v>166</v>
      </c>
      <c r="D40" s="216"/>
      <c r="E40" s="216"/>
      <c r="F40" s="174"/>
      <c r="G40" s="508"/>
      <c r="H40" s="505"/>
      <c r="I40" s="216" t="s">
        <v>167</v>
      </c>
      <c r="J40" s="174" t="s">
        <v>168</v>
      </c>
      <c r="K40" s="174"/>
      <c r="L40" s="174"/>
      <c r="M40" s="216"/>
      <c r="N40" s="216"/>
      <c r="O40" s="30"/>
      <c r="P40" s="689"/>
    </row>
    <row r="41" spans="1:22">
      <c r="A41" s="174"/>
      <c r="B41" s="216"/>
      <c r="C41" s="216" t="s">
        <v>169</v>
      </c>
      <c r="D41" s="216"/>
      <c r="E41" s="216"/>
      <c r="F41" s="174"/>
      <c r="G41" s="508"/>
      <c r="H41" s="514">
        <v>0.2</v>
      </c>
      <c r="I41" s="515">
        <f>VLOOKUP(K31,$G$54:$I$61,3,FALSE)</f>
        <v>0</v>
      </c>
      <c r="J41" s="516">
        <f>IF(I37,H41,I41)</f>
        <v>0.2</v>
      </c>
      <c r="K41" s="174"/>
      <c r="L41" s="174"/>
      <c r="M41" s="216"/>
      <c r="N41" s="216"/>
      <c r="O41" s="30"/>
      <c r="P41" s="689"/>
    </row>
    <row r="42" spans="1:22">
      <c r="A42" s="174"/>
      <c r="B42" s="216"/>
      <c r="C42" s="216" t="s">
        <v>170</v>
      </c>
      <c r="D42" s="216"/>
      <c r="E42" s="216"/>
      <c r="F42" s="174"/>
      <c r="G42" s="508"/>
      <c r="H42" s="517"/>
      <c r="I42" s="515"/>
      <c r="J42" s="516"/>
      <c r="K42" s="174"/>
      <c r="L42" s="174"/>
      <c r="M42" s="216"/>
      <c r="N42" s="216"/>
      <c r="O42" s="30"/>
      <c r="P42" s="689"/>
    </row>
    <row r="43" spans="1:22">
      <c r="A43" s="174"/>
      <c r="B43" s="216"/>
      <c r="C43" s="174"/>
      <c r="D43" s="216" t="s">
        <v>171</v>
      </c>
      <c r="E43" s="216"/>
      <c r="F43" s="174"/>
      <c r="G43" s="508"/>
      <c r="H43" s="505">
        <v>0</v>
      </c>
      <c r="I43" s="216">
        <f>IF(K31=6,66,0)</f>
        <v>0</v>
      </c>
      <c r="J43" s="518">
        <f>IF(I37,H43,I43)*I46</f>
        <v>0</v>
      </c>
      <c r="K43" s="174"/>
      <c r="L43" s="174"/>
      <c r="M43" s="216"/>
      <c r="N43" s="216"/>
      <c r="O43" s="30"/>
      <c r="P43" s="689"/>
    </row>
    <row r="44" spans="1:22">
      <c r="A44" s="174"/>
      <c r="B44" s="216"/>
      <c r="C44" s="174" t="s">
        <v>172</v>
      </c>
      <c r="D44" s="174"/>
      <c r="E44" s="174"/>
      <c r="F44" s="174"/>
      <c r="G44" s="174"/>
      <c r="H44" s="174"/>
      <c r="I44" s="216"/>
      <c r="J44" s="516"/>
      <c r="K44" s="174"/>
      <c r="L44" s="174"/>
      <c r="M44" s="216"/>
      <c r="N44" s="216"/>
      <c r="O44" s="30"/>
      <c r="P44" s="689"/>
    </row>
    <row r="45" spans="1:22">
      <c r="A45" s="174"/>
      <c r="B45" s="216" t="s">
        <v>172</v>
      </c>
      <c r="C45" s="174"/>
      <c r="D45" s="174"/>
      <c r="E45" s="174"/>
      <c r="F45" s="174"/>
      <c r="G45" s="174"/>
      <c r="H45" s="174"/>
      <c r="I45" s="216" t="s">
        <v>173</v>
      </c>
      <c r="J45" s="516"/>
      <c r="K45" s="174"/>
      <c r="L45" s="174"/>
      <c r="M45" s="216"/>
      <c r="N45" s="216"/>
      <c r="O45" s="30"/>
      <c r="P45" s="689"/>
    </row>
    <row r="46" spans="1:22">
      <c r="A46" s="174"/>
      <c r="B46" s="216" t="s">
        <v>174</v>
      </c>
      <c r="C46" s="174"/>
      <c r="D46" s="174"/>
      <c r="E46" s="174"/>
      <c r="F46" s="174"/>
      <c r="G46" s="502" t="s">
        <v>990</v>
      </c>
      <c r="H46" s="217">
        <f>VLOOKUP(G46,$A$64:$B$66,2,FALSE)</f>
        <v>1</v>
      </c>
      <c r="I46" s="216">
        <f>IF(H46,1,0.85)</f>
        <v>1</v>
      </c>
      <c r="J46" s="516"/>
      <c r="K46" s="174"/>
      <c r="L46" s="174"/>
      <c r="M46" s="216"/>
      <c r="N46" s="216"/>
      <c r="O46" s="30"/>
      <c r="P46" s="689"/>
    </row>
    <row r="47" spans="1:22">
      <c r="A47" s="174"/>
      <c r="B47" s="216" t="s">
        <v>175</v>
      </c>
      <c r="C47" s="174"/>
      <c r="D47" s="174"/>
      <c r="E47" s="174"/>
      <c r="F47" s="174"/>
      <c r="G47" s="519">
        <f>IF(K31&gt;=3,IF(K31=7,J41*volume*G33*(8760)/3600,J41*1.22*volume),0)</f>
        <v>0</v>
      </c>
      <c r="H47" s="520"/>
      <c r="I47" s="216"/>
      <c r="J47" s="174"/>
      <c r="K47" s="174"/>
      <c r="L47" s="174"/>
      <c r="M47" s="216"/>
      <c r="N47" s="216"/>
      <c r="O47" s="30"/>
      <c r="P47" s="689"/>
    </row>
    <row r="48" spans="1:22">
      <c r="A48" s="174"/>
      <c r="B48" s="216" t="s">
        <v>176</v>
      </c>
      <c r="C48" s="216"/>
      <c r="D48" s="216"/>
      <c r="E48" s="216"/>
      <c r="F48" s="216"/>
      <c r="G48" s="504">
        <f>IF(OR(K31=5,K31=6),J41*0.06*volume,0)</f>
        <v>0</v>
      </c>
      <c r="H48" s="216"/>
      <c r="I48" s="216"/>
      <c r="J48" s="174"/>
      <c r="K48" s="174"/>
      <c r="L48" s="174"/>
      <c r="M48" s="216"/>
      <c r="N48" s="216"/>
      <c r="O48" s="30"/>
      <c r="P48" s="689"/>
      <c r="R48" s="480" t="s">
        <v>2</v>
      </c>
    </row>
    <row r="49" spans="1:18">
      <c r="A49" s="216" t="s">
        <v>172</v>
      </c>
      <c r="B49" s="216"/>
      <c r="C49" s="216"/>
      <c r="D49" s="216"/>
      <c r="E49" s="216"/>
      <c r="F49" s="216"/>
      <c r="G49" s="216"/>
      <c r="H49" s="216"/>
      <c r="I49" s="216"/>
      <c r="J49" s="216"/>
      <c r="K49" s="216"/>
      <c r="L49" s="216"/>
      <c r="M49" s="216"/>
      <c r="N49" s="216"/>
      <c r="O49" s="30"/>
      <c r="P49" s="689"/>
    </row>
    <row r="51" spans="1:18">
      <c r="A51" s="13" t="s">
        <v>78</v>
      </c>
      <c r="B51" s="174"/>
      <c r="C51" s="174"/>
      <c r="D51" s="174"/>
      <c r="E51" s="174"/>
      <c r="F51" s="174"/>
      <c r="G51" s="174"/>
      <c r="H51" s="174"/>
      <c r="I51" s="174"/>
      <c r="J51" s="174"/>
      <c r="K51" s="174"/>
      <c r="L51" s="174"/>
      <c r="M51" s="174"/>
      <c r="N51" s="174"/>
    </row>
    <row r="52" spans="1:18">
      <c r="A52" s="13" t="s">
        <v>177</v>
      </c>
      <c r="B52" s="174"/>
      <c r="C52" s="174"/>
      <c r="D52" s="174"/>
      <c r="E52" s="174"/>
      <c r="F52" s="174"/>
      <c r="G52" s="174" t="s">
        <v>153</v>
      </c>
      <c r="H52" s="216" t="s">
        <v>178</v>
      </c>
      <c r="I52" s="174" t="s">
        <v>179</v>
      </c>
      <c r="J52" s="174"/>
      <c r="K52" s="174"/>
      <c r="L52" s="216"/>
      <c r="M52" s="174"/>
      <c r="N52" s="216"/>
      <c r="O52" s="30"/>
    </row>
    <row r="53" spans="1:18">
      <c r="A53" s="174"/>
      <c r="B53" s="174"/>
      <c r="C53" s="174"/>
      <c r="D53" s="174"/>
      <c r="E53" s="174"/>
      <c r="F53" s="174"/>
      <c r="G53" s="174"/>
      <c r="H53" s="174" t="s">
        <v>125</v>
      </c>
      <c r="I53" s="174" t="s">
        <v>180</v>
      </c>
      <c r="J53" s="174"/>
      <c r="K53" s="174"/>
      <c r="L53" s="216"/>
      <c r="M53" s="174"/>
      <c r="N53" s="216"/>
      <c r="O53" s="30"/>
    </row>
    <row r="54" spans="1:18">
      <c r="A54" s="174" t="s">
        <v>181</v>
      </c>
      <c r="B54" s="174"/>
      <c r="C54" s="174"/>
      <c r="D54" s="174"/>
      <c r="E54" s="174"/>
      <c r="F54" s="174"/>
      <c r="G54" s="174">
        <v>1</v>
      </c>
      <c r="H54" s="513">
        <f>IF(G29&gt;1,G29,0.5+(G29^2)*0.5)</f>
        <v>0.55590000314940791</v>
      </c>
      <c r="I54" s="174">
        <v>0</v>
      </c>
      <c r="J54" s="174"/>
      <c r="K54" s="174"/>
      <c r="L54" s="216"/>
      <c r="M54" s="174"/>
      <c r="N54" s="174"/>
      <c r="O54" s="30"/>
    </row>
    <row r="55" spans="1:18">
      <c r="A55" s="174" t="s">
        <v>182</v>
      </c>
      <c r="B55" s="174"/>
      <c r="C55" s="174"/>
      <c r="D55" s="174"/>
      <c r="E55" s="174"/>
      <c r="F55" s="174"/>
      <c r="G55" s="174">
        <v>2</v>
      </c>
      <c r="H55" s="516">
        <v>0.51</v>
      </c>
      <c r="I55" s="174">
        <v>0</v>
      </c>
      <c r="J55" s="174"/>
      <c r="K55" s="174"/>
      <c r="L55" s="174"/>
      <c r="M55" s="174"/>
      <c r="N55" s="174"/>
      <c r="O55" s="30"/>
      <c r="R55" s="480" t="s">
        <v>2</v>
      </c>
    </row>
    <row r="56" spans="1:18">
      <c r="A56" s="174" t="s">
        <v>183</v>
      </c>
      <c r="B56" s="174"/>
      <c r="C56" s="174"/>
      <c r="D56" s="174"/>
      <c r="E56" s="174"/>
      <c r="F56" s="174"/>
      <c r="G56" s="174">
        <v>3</v>
      </c>
      <c r="H56" s="516">
        <f>H57</f>
        <v>0.58436507936507942</v>
      </c>
      <c r="I56" s="174">
        <v>0.8</v>
      </c>
      <c r="J56" s="518"/>
      <c r="K56" s="174"/>
      <c r="L56" s="216"/>
      <c r="M56" s="174"/>
      <c r="N56" s="174"/>
      <c r="O56" s="30"/>
    </row>
    <row r="57" spans="1:18">
      <c r="A57" s="174" t="s">
        <v>184</v>
      </c>
      <c r="B57" s="174"/>
      <c r="C57" s="174"/>
      <c r="D57" s="174"/>
      <c r="E57" s="174"/>
      <c r="F57" s="174"/>
      <c r="G57" s="174">
        <v>4</v>
      </c>
      <c r="H57" s="513">
        <f>MAX(0.5,G29+0.25)</f>
        <v>0.58436507936507942</v>
      </c>
      <c r="I57" s="174">
        <v>0.8</v>
      </c>
      <c r="J57" s="518"/>
      <c r="K57" s="174"/>
      <c r="L57" s="216"/>
      <c r="M57" s="174"/>
      <c r="N57" s="174"/>
      <c r="O57" s="30"/>
    </row>
    <row r="58" spans="1:18">
      <c r="A58" s="216" t="s">
        <v>185</v>
      </c>
      <c r="B58" s="174"/>
      <c r="C58" s="174"/>
      <c r="D58" s="174"/>
      <c r="E58" s="174"/>
      <c r="F58" s="174"/>
      <c r="G58" s="174">
        <v>5</v>
      </c>
      <c r="H58" s="513">
        <f>G29+0.5</f>
        <v>0.83436507936507942</v>
      </c>
      <c r="I58" s="173">
        <v>2</v>
      </c>
      <c r="J58" s="518"/>
      <c r="K58" s="518"/>
      <c r="L58" s="518"/>
      <c r="M58" s="174"/>
      <c r="N58" s="174"/>
    </row>
    <row r="59" spans="1:18">
      <c r="A59" s="216" t="s">
        <v>186</v>
      </c>
      <c r="B59" s="174"/>
      <c r="C59" s="174"/>
      <c r="D59" s="174"/>
      <c r="E59" s="174"/>
      <c r="F59" s="174"/>
      <c r="G59" s="174">
        <v>6</v>
      </c>
      <c r="H59" s="513">
        <f>G29+0.5*(1-J43/100)</f>
        <v>0.83436507936507942</v>
      </c>
      <c r="I59" s="173">
        <v>2</v>
      </c>
      <c r="J59" s="518"/>
      <c r="K59" s="518"/>
      <c r="L59" s="174"/>
      <c r="M59" s="174"/>
      <c r="N59" s="174"/>
    </row>
    <row r="60" spans="1:18">
      <c r="A60" s="216" t="s">
        <v>152</v>
      </c>
      <c r="B60" s="174"/>
      <c r="C60" s="174"/>
      <c r="D60" s="174"/>
      <c r="E60" s="174"/>
      <c r="F60" s="174"/>
      <c r="G60" s="174">
        <v>7</v>
      </c>
      <c r="H60" s="513">
        <f>IFERROR(MAX(0.5,G29+0.5*(0.5*N35)),0)</f>
        <v>0</v>
      </c>
      <c r="I60" s="516">
        <v>0.26</v>
      </c>
      <c r="J60" s="518"/>
      <c r="K60" s="518"/>
      <c r="L60" s="174"/>
      <c r="M60" s="174"/>
      <c r="N60" s="174"/>
    </row>
    <row r="61" spans="1:18">
      <c r="A61" s="216" t="s">
        <v>103</v>
      </c>
      <c r="B61" s="174"/>
      <c r="C61" s="174"/>
      <c r="D61" s="174"/>
      <c r="E61" s="174"/>
      <c r="F61" s="174"/>
      <c r="G61" s="174" t="s">
        <v>103</v>
      </c>
      <c r="H61" s="513">
        <v>0</v>
      </c>
      <c r="I61" s="173">
        <v>0</v>
      </c>
      <c r="J61" s="518"/>
      <c r="K61" s="518"/>
      <c r="L61" s="174"/>
      <c r="M61" s="174"/>
      <c r="N61" s="174"/>
    </row>
    <row r="63" spans="1:18">
      <c r="A63" s="13" t="s">
        <v>187</v>
      </c>
      <c r="B63" s="174"/>
      <c r="C63" s="174"/>
      <c r="D63" s="174"/>
      <c r="E63" s="174"/>
      <c r="F63" s="174"/>
      <c r="G63" s="174"/>
      <c r="H63" s="174"/>
      <c r="I63" s="174"/>
      <c r="J63" s="174"/>
      <c r="K63" s="174"/>
      <c r="L63" s="174"/>
      <c r="M63" s="174"/>
      <c r="N63" s="174"/>
    </row>
    <row r="64" spans="1:18">
      <c r="A64" s="174" t="s">
        <v>98</v>
      </c>
      <c r="B64" s="174">
        <v>1</v>
      </c>
      <c r="C64" s="174"/>
      <c r="D64" s="174"/>
      <c r="E64" s="174"/>
      <c r="F64" s="174"/>
      <c r="G64" s="174"/>
      <c r="H64" s="174"/>
      <c r="I64" s="174"/>
      <c r="J64" s="174"/>
      <c r="K64" s="174"/>
      <c r="L64" s="174"/>
      <c r="M64" s="174"/>
      <c r="N64" s="174"/>
    </row>
    <row r="65" spans="1:3">
      <c r="A65" s="174" t="s">
        <v>99</v>
      </c>
      <c r="B65" s="174">
        <v>0</v>
      </c>
      <c r="C65" s="174"/>
    </row>
    <row r="66" spans="1:3">
      <c r="A66" s="174" t="s">
        <v>990</v>
      </c>
      <c r="B66" s="174">
        <v>1</v>
      </c>
      <c r="C66" s="174"/>
    </row>
    <row r="68" spans="1:3">
      <c r="A68" s="25" t="s">
        <v>188</v>
      </c>
      <c r="B68" s="174"/>
      <c r="C68" s="174"/>
    </row>
    <row r="69" spans="1:3">
      <c r="A69" s="174" t="s">
        <v>138</v>
      </c>
      <c r="B69" s="174"/>
      <c r="C69" s="516">
        <v>0.35</v>
      </c>
    </row>
    <row r="70" spans="1:3">
      <c r="A70" s="174" t="s">
        <v>189</v>
      </c>
      <c r="B70" s="174"/>
      <c r="C70" s="516">
        <v>0.25</v>
      </c>
    </row>
    <row r="71" spans="1:3">
      <c r="A71" s="174" t="s">
        <v>103</v>
      </c>
      <c r="B71" s="174"/>
      <c r="C71" s="516">
        <v>0</v>
      </c>
    </row>
    <row r="73" spans="1:3">
      <c r="A73" s="174" t="s">
        <v>190</v>
      </c>
      <c r="B73" s="174"/>
      <c r="C73" s="174"/>
    </row>
    <row r="74" spans="1:3">
      <c r="A74" s="174" t="s">
        <v>15</v>
      </c>
      <c r="B74" s="174"/>
      <c r="C74" s="174">
        <v>0</v>
      </c>
    </row>
    <row r="75" spans="1:3">
      <c r="A75" s="174" t="s">
        <v>191</v>
      </c>
      <c r="B75" s="174"/>
      <c r="C75" s="174">
        <v>0.1</v>
      </c>
    </row>
    <row r="76" spans="1:3">
      <c r="A76" s="174" t="s">
        <v>192</v>
      </c>
      <c r="B76" s="174"/>
      <c r="C76" s="174">
        <v>0.2</v>
      </c>
    </row>
    <row r="77" spans="1:3">
      <c r="A77" s="174" t="s">
        <v>103</v>
      </c>
      <c r="B77" s="174"/>
      <c r="C77" s="174">
        <v>0</v>
      </c>
    </row>
    <row r="79" spans="1:3">
      <c r="A79" s="13" t="s">
        <v>193</v>
      </c>
      <c r="B79" s="174"/>
      <c r="C79" s="174"/>
    </row>
    <row r="80" spans="1:3">
      <c r="A80" s="174" t="b">
        <f>AND(TGDL=2011,$G$14,$H$23&lt;=0.35)</f>
        <v>0</v>
      </c>
      <c r="B80" s="174"/>
      <c r="C80" s="174"/>
    </row>
    <row r="81" spans="1:1">
      <c r="A81" s="13" t="s">
        <v>194</v>
      </c>
    </row>
    <row r="82" spans="1:1">
      <c r="A82" s="174" t="b">
        <f>AND(TGDL=2011,$G$14,$H$23&gt;0.35)</f>
        <v>0</v>
      </c>
    </row>
    <row r="83" spans="1:1">
      <c r="A83" s="13" t="s">
        <v>195</v>
      </c>
    </row>
    <row r="84" spans="1:1">
      <c r="A84" s="174" t="b">
        <f>AND(TGDL=2019,$G$14,$H$23&lt;=0.25)</f>
        <v>1</v>
      </c>
    </row>
    <row r="85" spans="1:1">
      <c r="A85" s="13" t="s">
        <v>196</v>
      </c>
    </row>
    <row r="86" spans="1:1">
      <c r="A86" s="174" t="b">
        <f>AND(TGDL=2019,$G$14,$H$23&gt;0.25)</f>
        <v>0</v>
      </c>
    </row>
    <row r="87" spans="1:1">
      <c r="A87" s="13" t="s">
        <v>197</v>
      </c>
    </row>
    <row r="88" spans="1:1">
      <c r="A88" s="174" t="b">
        <f>OR(A82,A86)</f>
        <v>0</v>
      </c>
    </row>
    <row r="89" spans="1:1">
      <c r="A89" s="13" t="s">
        <v>198</v>
      </c>
    </row>
    <row r="90" spans="1:1">
      <c r="A90" s="174" t="b">
        <f>OR(A84,A80)</f>
        <v>1</v>
      </c>
    </row>
  </sheetData>
  <sheetProtection algorithmName="SHA-512" hashValue="QgKGj5RKbW7FN0FgFia0bMFuLTWJtspmPiAGFQUpUEMjLljZy6yWmdODKuFd8AtFPkyE6wGKqshmPhCjx82d2Q==" saltValue="RXes5PPC5eL8BkTBHwKIVw==" spinCount="100000" sheet="1" objects="1" scenarios="1"/>
  <mergeCells count="3">
    <mergeCell ref="F16:G16"/>
    <mergeCell ref="F17:G17"/>
    <mergeCell ref="D31:I31"/>
  </mergeCells>
  <phoneticPr fontId="0" type="noConversion"/>
  <dataValidations count="5">
    <dataValidation type="list" allowBlank="1" showErrorMessage="1" errorTitle="DEAP" error="Please select item from drop-down list." sqref="H37 G46" xr:uid="{00000000-0002-0000-0400-000000000000}">
      <formula1>$A$64:$A$66</formula1>
    </dataValidation>
    <dataValidation type="list" allowBlank="1" showInputMessage="1" showErrorMessage="1" errorTitle="DEAP" error="Please select item from drop-down list." sqref="D31:I31" xr:uid="{00000000-0002-0000-0400-000001000000}">
      <formula1>$A$54:$A$61</formula1>
    </dataValidation>
    <dataValidation type="list" allowBlank="1" showErrorMessage="1" errorTitle="DEAP" error="Please select item from drop-down list." sqref="F16:G16" xr:uid="{00000000-0002-0000-0400-000002000000}">
      <formula1>$A$69:$A$71</formula1>
    </dataValidation>
    <dataValidation type="list" allowBlank="1" showInputMessage="1" showErrorMessage="1" errorTitle="DEAP" error="Please select item from drop-down list." sqref="F17:G17" xr:uid="{00000000-0002-0000-0400-000003000000}">
      <formula1>$A$74:$A$77</formula1>
    </dataValidation>
    <dataValidation type="list" allowBlank="1" showErrorMessage="1" errorTitle="DEAP" error="Please select item from drop-down list." sqref="E9 F14" xr:uid="{AD544C5E-FA4A-4988-8EA0-B9FE7F2E5DDD}">
      <formula1>$A$64:$A$65</formula1>
    </dataValidation>
  </dataValidations>
  <pageMargins left="0.61" right="0.65" top="1" bottom="1" header="0.5" footer="0.5"/>
  <pageSetup paperSize="9" scale="62"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T77"/>
  <sheetViews>
    <sheetView zoomScale="85" zoomScaleNormal="85" workbookViewId="0">
      <selection activeCell="G7" sqref="G7"/>
    </sheetView>
  </sheetViews>
  <sheetFormatPr defaultRowHeight="12.75"/>
  <cols>
    <col min="1" max="1" width="19.140625" style="8" customWidth="1"/>
    <col min="2" max="6" width="9.140625" style="8"/>
    <col min="7" max="7" width="9.42578125" style="8" bestFit="1" customWidth="1"/>
    <col min="8" max="14" width="9.140625" style="8"/>
    <col min="15" max="15" width="9.140625" style="8" customWidth="1"/>
    <col min="16" max="16" width="9.140625" style="697" customWidth="1"/>
    <col min="17" max="17" width="9.140625" style="8" customWidth="1"/>
    <col min="18" max="20" width="9.140625" style="8"/>
  </cols>
  <sheetData>
    <row r="1" spans="1:20" s="66" customFormat="1" ht="18" customHeight="1">
      <c r="A1" s="23" t="s">
        <v>199</v>
      </c>
      <c r="B1" s="26"/>
      <c r="C1" s="500"/>
      <c r="D1" s="500"/>
      <c r="E1" s="500"/>
      <c r="F1" s="27"/>
      <c r="G1" s="27"/>
      <c r="H1" s="500"/>
      <c r="I1" s="500"/>
      <c r="J1" s="500"/>
      <c r="K1" s="500"/>
      <c r="L1" s="500"/>
      <c r="M1" s="500"/>
      <c r="N1" s="31"/>
      <c r="O1" s="65"/>
      <c r="P1" s="689" t="s">
        <v>350</v>
      </c>
      <c r="Q1" s="65"/>
      <c r="R1" s="65"/>
      <c r="S1" s="65"/>
      <c r="T1" s="65"/>
    </row>
    <row r="2" spans="1:20" s="1" customFormat="1">
      <c r="A2" s="216" t="s">
        <v>200</v>
      </c>
      <c r="B2" s="216"/>
      <c r="C2" s="216"/>
      <c r="D2" s="216"/>
      <c r="E2" s="216"/>
      <c r="F2" s="216"/>
      <c r="G2" s="216"/>
      <c r="H2" s="216"/>
      <c r="I2" s="216"/>
      <c r="J2" s="216"/>
      <c r="K2" s="216"/>
      <c r="L2" s="216"/>
      <c r="M2" s="216"/>
      <c r="N2" s="216"/>
      <c r="O2" s="216"/>
      <c r="P2" s="689"/>
      <c r="Q2" s="216"/>
      <c r="R2" s="216"/>
      <c r="S2" s="216"/>
      <c r="T2" s="216"/>
    </row>
    <row r="3" spans="1:20" s="1" customFormat="1">
      <c r="A3" s="216"/>
      <c r="B3" s="216"/>
      <c r="C3" s="30"/>
      <c r="D3" s="30"/>
      <c r="E3" s="475"/>
      <c r="F3" s="475"/>
      <c r="G3" s="475"/>
      <c r="H3" s="475"/>
      <c r="I3" s="475"/>
      <c r="J3" s="475"/>
      <c r="K3" s="475"/>
      <c r="L3" s="475"/>
      <c r="M3" s="475"/>
      <c r="N3" s="216" t="s">
        <v>201</v>
      </c>
      <c r="O3" s="216"/>
      <c r="P3" s="689"/>
      <c r="Q3" s="216"/>
      <c r="R3" s="216"/>
      <c r="S3" s="216"/>
      <c r="T3" s="216"/>
    </row>
    <row r="4" spans="1:20" s="1" customFormat="1">
      <c r="A4" s="216" t="s">
        <v>202</v>
      </c>
      <c r="B4" s="216"/>
      <c r="C4" s="30"/>
      <c r="D4" s="30"/>
      <c r="E4" s="502" t="s">
        <v>203</v>
      </c>
      <c r="F4" s="502" t="s">
        <v>204</v>
      </c>
      <c r="G4" s="502" t="s">
        <v>205</v>
      </c>
      <c r="H4" s="502" t="s">
        <v>206</v>
      </c>
      <c r="I4" s="502" t="s">
        <v>204</v>
      </c>
      <c r="J4" s="502" t="s">
        <v>205</v>
      </c>
      <c r="K4" s="502" t="s">
        <v>205</v>
      </c>
      <c r="L4" s="502" t="s">
        <v>205</v>
      </c>
      <c r="M4" s="502" t="s">
        <v>207</v>
      </c>
      <c r="N4" s="216"/>
      <c r="O4" s="216"/>
      <c r="P4" s="689"/>
      <c r="Q4" s="216"/>
      <c r="R4" s="216"/>
      <c r="S4" s="216"/>
      <c r="T4" s="216"/>
    </row>
    <row r="5" spans="1:20" s="1" customFormat="1">
      <c r="A5" s="216" t="s">
        <v>208</v>
      </c>
      <c r="B5" s="216"/>
      <c r="C5" s="30"/>
      <c r="D5" s="30"/>
      <c r="E5" s="475">
        <f>VLOOKUP(E4,$A$33:$B$38,2,FALSE)</f>
        <v>3</v>
      </c>
      <c r="F5" s="475">
        <f t="shared" ref="F5:M5" si="0">VLOOKUP(F4,$A$33:$B$38,2,FALSE)</f>
        <v>5</v>
      </c>
      <c r="G5" s="475">
        <f t="shared" si="0"/>
        <v>1</v>
      </c>
      <c r="H5" s="475">
        <f t="shared" si="0"/>
        <v>4</v>
      </c>
      <c r="I5" s="475">
        <f t="shared" si="0"/>
        <v>5</v>
      </c>
      <c r="J5" s="475">
        <f t="shared" si="0"/>
        <v>1</v>
      </c>
      <c r="K5" s="475">
        <f t="shared" si="0"/>
        <v>1</v>
      </c>
      <c r="L5" s="475">
        <f t="shared" si="0"/>
        <v>1</v>
      </c>
      <c r="M5" s="475">
        <f t="shared" si="0"/>
        <v>6</v>
      </c>
      <c r="N5" s="475"/>
      <c r="O5" s="216"/>
      <c r="P5" s="689"/>
      <c r="Q5" s="216"/>
      <c r="R5" s="216"/>
      <c r="S5" s="216"/>
      <c r="T5" s="216"/>
    </row>
    <row r="6" spans="1:20" s="1" customFormat="1" ht="14.25">
      <c r="A6" s="216" t="s">
        <v>209</v>
      </c>
      <c r="B6" s="216"/>
      <c r="C6" s="30"/>
      <c r="D6" s="30"/>
      <c r="E6" s="502">
        <v>28.7</v>
      </c>
      <c r="F6" s="502">
        <v>0</v>
      </c>
      <c r="G6" s="502">
        <v>0.9</v>
      </c>
      <c r="H6" s="502"/>
      <c r="I6" s="502"/>
      <c r="J6" s="502"/>
      <c r="K6" s="502"/>
      <c r="L6" s="502"/>
      <c r="M6" s="502"/>
      <c r="N6" s="521">
        <f>SUM(E6:M6)</f>
        <v>29.599999999999998</v>
      </c>
      <c r="O6" s="216"/>
      <c r="P6" s="690">
        <f>MIN(0.25*tfa,Fab!G81)-1.85</f>
        <v>29.65</v>
      </c>
      <c r="Q6" s="216"/>
      <c r="R6" s="216"/>
      <c r="S6" s="216"/>
      <c r="T6" s="216"/>
    </row>
    <row r="7" spans="1:20" s="1" customFormat="1">
      <c r="A7" s="216" t="s">
        <v>210</v>
      </c>
      <c r="B7" s="216"/>
      <c r="C7" s="30"/>
      <c r="D7" s="30"/>
      <c r="E7" s="502" t="s">
        <v>99</v>
      </c>
      <c r="F7" s="502" t="s">
        <v>99</v>
      </c>
      <c r="G7" s="502" t="s">
        <v>99</v>
      </c>
      <c r="H7" s="502" t="s">
        <v>103</v>
      </c>
      <c r="I7" s="502" t="s">
        <v>103</v>
      </c>
      <c r="J7" s="502" t="s">
        <v>103</v>
      </c>
      <c r="K7" s="502" t="s">
        <v>103</v>
      </c>
      <c r="L7" s="502" t="s">
        <v>103</v>
      </c>
      <c r="M7" s="502" t="s">
        <v>103</v>
      </c>
      <c r="N7" s="522"/>
      <c r="O7" s="216"/>
      <c r="P7" s="689"/>
      <c r="Q7" s="216"/>
      <c r="R7" s="216"/>
      <c r="S7" s="216"/>
      <c r="T7" s="216"/>
    </row>
    <row r="8" spans="1:20" s="1" customFormat="1">
      <c r="A8" s="28" t="s">
        <v>211</v>
      </c>
      <c r="B8" s="28"/>
      <c r="C8" s="30"/>
      <c r="D8" s="30"/>
      <c r="N8" s="522"/>
      <c r="O8" s="216"/>
      <c r="P8" s="689"/>
      <c r="Q8" s="216"/>
      <c r="R8" s="216"/>
      <c r="S8" s="216"/>
      <c r="T8" s="216"/>
    </row>
    <row r="9" spans="1:20" s="1" customFormat="1" ht="14.25">
      <c r="A9" s="216" t="s">
        <v>212</v>
      </c>
      <c r="B9" s="216"/>
      <c r="C9" s="30"/>
      <c r="D9" s="30"/>
      <c r="E9" s="502">
        <v>0.9</v>
      </c>
      <c r="F9" s="502">
        <v>0.9</v>
      </c>
      <c r="G9" s="502">
        <v>0.9</v>
      </c>
      <c r="H9" s="502"/>
      <c r="I9" s="502"/>
      <c r="J9" s="502"/>
      <c r="K9" s="502"/>
      <c r="L9" s="502"/>
      <c r="M9" s="502"/>
      <c r="N9" s="503"/>
      <c r="O9" s="216"/>
      <c r="P9" s="689">
        <v>2.2000000000000002</v>
      </c>
      <c r="Q9" s="216"/>
      <c r="R9" s="216"/>
      <c r="S9" s="216"/>
      <c r="T9" s="216"/>
    </row>
    <row r="10" spans="1:20" s="1" customFormat="1">
      <c r="A10" s="216" t="s">
        <v>213</v>
      </c>
      <c r="B10" s="216"/>
      <c r="C10" s="30"/>
      <c r="D10" s="30"/>
      <c r="E10" s="502" t="s">
        <v>98</v>
      </c>
      <c r="F10" s="502" t="s">
        <v>98</v>
      </c>
      <c r="G10" s="502" t="s">
        <v>98</v>
      </c>
      <c r="H10" s="502" t="s">
        <v>103</v>
      </c>
      <c r="I10" s="502" t="s">
        <v>103</v>
      </c>
      <c r="J10" s="502" t="s">
        <v>103</v>
      </c>
      <c r="K10" s="502" t="s">
        <v>103</v>
      </c>
      <c r="L10" s="502" t="s">
        <v>103</v>
      </c>
      <c r="M10" s="502" t="s">
        <v>103</v>
      </c>
      <c r="N10" s="503"/>
      <c r="O10" s="216"/>
      <c r="P10" s="689"/>
      <c r="Q10" s="216"/>
      <c r="R10" s="216"/>
      <c r="S10" s="216"/>
      <c r="T10" s="216"/>
    </row>
    <row r="11" spans="1:20" s="1" customFormat="1">
      <c r="A11" s="59" t="s">
        <v>214</v>
      </c>
      <c r="B11" s="216"/>
      <c r="C11" s="30"/>
      <c r="D11" s="30"/>
      <c r="E11" s="523"/>
      <c r="F11" s="523"/>
      <c r="G11" s="523"/>
      <c r="H11" s="523"/>
      <c r="I11" s="523"/>
      <c r="J11" s="523"/>
      <c r="K11" s="523"/>
      <c r="L11" s="523"/>
      <c r="M11" s="523"/>
      <c r="N11" s="503"/>
      <c r="O11" s="216"/>
      <c r="P11" s="689"/>
      <c r="Q11" s="216"/>
      <c r="R11" s="216"/>
      <c r="S11" s="216"/>
      <c r="T11" s="216"/>
    </row>
    <row r="12" spans="1:20" s="1" customFormat="1">
      <c r="B12" s="216" t="s">
        <v>165</v>
      </c>
      <c r="C12" s="30"/>
      <c r="D12" s="30"/>
      <c r="E12" s="502"/>
      <c r="F12" s="502"/>
      <c r="G12" s="502"/>
      <c r="H12" s="502"/>
      <c r="I12" s="502"/>
      <c r="J12" s="502"/>
      <c r="K12" s="502"/>
      <c r="L12" s="502"/>
      <c r="M12" s="502"/>
      <c r="N12" s="475"/>
      <c r="O12" s="216"/>
      <c r="P12" s="689"/>
      <c r="Q12" s="216"/>
      <c r="R12" s="216"/>
      <c r="S12" s="216"/>
      <c r="T12" s="216"/>
    </row>
    <row r="13" spans="1:20" s="1" customFormat="1">
      <c r="A13" s="216"/>
      <c r="B13" s="216" t="s">
        <v>215</v>
      </c>
      <c r="C13" s="30"/>
      <c r="D13" s="30"/>
      <c r="E13" s="502">
        <v>0.6</v>
      </c>
      <c r="F13" s="502">
        <v>0.6</v>
      </c>
      <c r="G13" s="502">
        <v>0.6</v>
      </c>
      <c r="H13" s="502"/>
      <c r="I13" s="502"/>
      <c r="J13" s="502"/>
      <c r="K13" s="502"/>
      <c r="L13" s="502"/>
      <c r="M13" s="502"/>
      <c r="N13" s="475"/>
      <c r="O13" s="216"/>
      <c r="P13" s="689"/>
      <c r="Q13" s="216"/>
      <c r="R13" s="216"/>
      <c r="S13" s="216"/>
      <c r="T13" s="216"/>
    </row>
    <row r="14" spans="1:20" s="1" customFormat="1">
      <c r="A14" s="59" t="s">
        <v>172</v>
      </c>
      <c r="C14" s="30"/>
      <c r="D14" s="30"/>
      <c r="E14" s="523"/>
      <c r="F14" s="523"/>
      <c r="G14" s="523"/>
      <c r="H14" s="523"/>
      <c r="I14" s="523"/>
      <c r="J14" s="523"/>
      <c r="K14" s="523"/>
      <c r="L14" s="523"/>
      <c r="M14" s="523"/>
      <c r="N14" s="475"/>
      <c r="O14" s="216"/>
      <c r="P14" s="689"/>
      <c r="Q14" s="216"/>
      <c r="R14" s="216"/>
      <c r="S14" s="216"/>
      <c r="T14" s="216"/>
    </row>
    <row r="15" spans="1:20" s="1" customFormat="1">
      <c r="A15" s="216" t="s">
        <v>216</v>
      </c>
      <c r="B15" s="216"/>
      <c r="C15" s="30"/>
      <c r="D15" s="30"/>
      <c r="E15" s="67"/>
      <c r="F15" s="67"/>
      <c r="G15" s="67"/>
      <c r="H15" s="67"/>
      <c r="I15" s="67"/>
      <c r="J15" s="67"/>
      <c r="K15" s="67"/>
      <c r="L15" s="67"/>
      <c r="M15" s="67"/>
      <c r="N15" s="475"/>
      <c r="O15" s="216"/>
      <c r="P15" s="689"/>
      <c r="Q15" s="216"/>
      <c r="R15" s="216"/>
      <c r="S15" s="216"/>
      <c r="T15" s="216"/>
    </row>
    <row r="16" spans="1:20" s="1" customFormat="1">
      <c r="A16" s="216"/>
      <c r="B16" s="216"/>
      <c r="C16" s="30"/>
      <c r="D16" s="30"/>
      <c r="E16" s="502"/>
      <c r="F16" s="502"/>
      <c r="G16" s="502"/>
      <c r="H16" s="502"/>
      <c r="I16" s="502"/>
      <c r="J16" s="502"/>
      <c r="K16" s="502"/>
      <c r="L16" s="502"/>
      <c r="M16" s="502"/>
      <c r="N16" s="475"/>
      <c r="O16" s="216"/>
      <c r="P16" s="689"/>
      <c r="Q16" s="216"/>
      <c r="R16" s="216"/>
      <c r="S16" s="216"/>
      <c r="T16" s="216"/>
    </row>
    <row r="17" spans="1:20" s="1" customFormat="1" ht="14.25">
      <c r="A17" s="216" t="s">
        <v>217</v>
      </c>
      <c r="B17" s="216"/>
      <c r="C17" s="30"/>
      <c r="D17" s="30"/>
      <c r="E17" s="217">
        <f t="shared" ref="E17:M17" si="1">E9+E16</f>
        <v>0.9</v>
      </c>
      <c r="F17" s="217">
        <f t="shared" si="1"/>
        <v>0.9</v>
      </c>
      <c r="G17" s="217">
        <f t="shared" si="1"/>
        <v>0.9</v>
      </c>
      <c r="H17" s="217">
        <f t="shared" si="1"/>
        <v>0</v>
      </c>
      <c r="I17" s="217">
        <f t="shared" si="1"/>
        <v>0</v>
      </c>
      <c r="J17" s="217">
        <f t="shared" si="1"/>
        <v>0</v>
      </c>
      <c r="K17" s="217">
        <f t="shared" si="1"/>
        <v>0</v>
      </c>
      <c r="L17" s="217">
        <f t="shared" si="1"/>
        <v>0</v>
      </c>
      <c r="M17" s="217">
        <f t="shared" si="1"/>
        <v>0</v>
      </c>
      <c r="N17" s="522">
        <f>SUMPRODUCT(E17:M17,E6:M6)</f>
        <v>26.639999999999997</v>
      </c>
      <c r="O17" s="216"/>
      <c r="P17" s="689"/>
      <c r="Q17" s="216"/>
      <c r="R17" s="216"/>
      <c r="S17" s="216"/>
      <c r="T17" s="216"/>
    </row>
    <row r="18" spans="1:20" s="1" customFormat="1" ht="14.25">
      <c r="A18" s="216" t="s">
        <v>218</v>
      </c>
      <c r="B18" s="216"/>
      <c r="C18" s="30"/>
      <c r="D18" s="30"/>
      <c r="E18" s="509">
        <f>IF(E17=0,0,1/(1/(E17)+0.04))</f>
        <v>0.86872586872586866</v>
      </c>
      <c r="F18" s="509">
        <f t="shared" ref="F18:M18" si="2">IF(F17=0,0,1/(1/(F17)+0.04))</f>
        <v>0.86872586872586866</v>
      </c>
      <c r="G18" s="509">
        <f t="shared" si="2"/>
        <v>0.86872586872586866</v>
      </c>
      <c r="H18" s="509">
        <f t="shared" si="2"/>
        <v>0</v>
      </c>
      <c r="I18" s="509">
        <f t="shared" si="2"/>
        <v>0</v>
      </c>
      <c r="J18" s="509">
        <f t="shared" si="2"/>
        <v>0</v>
      </c>
      <c r="K18" s="509">
        <f t="shared" si="2"/>
        <v>0</v>
      </c>
      <c r="L18" s="509">
        <f t="shared" si="2"/>
        <v>0</v>
      </c>
      <c r="M18" s="509">
        <f t="shared" si="2"/>
        <v>0</v>
      </c>
      <c r="N18" s="475"/>
      <c r="O18" s="30"/>
      <c r="P18" s="690">
        <f>1/((1/P9)+0.04)</f>
        <v>2.0220588235294121</v>
      </c>
      <c r="Q18" s="30"/>
      <c r="R18" s="30"/>
      <c r="S18" s="30"/>
      <c r="T18" s="216"/>
    </row>
    <row r="19" spans="1:20" s="1" customFormat="1">
      <c r="A19" s="216" t="s">
        <v>219</v>
      </c>
      <c r="B19" s="216"/>
      <c r="C19" s="30"/>
      <c r="D19" s="30"/>
      <c r="E19" s="522"/>
      <c r="F19" s="522"/>
      <c r="G19" s="522"/>
      <c r="H19" s="522"/>
      <c r="I19" s="522"/>
      <c r="J19" s="522"/>
      <c r="K19" s="522"/>
      <c r="L19" s="522"/>
      <c r="M19" s="522"/>
      <c r="N19" s="521">
        <f>SUMPRODUCT(E18:M18,E6:M6)</f>
        <v>25.714285714285708</v>
      </c>
      <c r="O19" s="30"/>
      <c r="P19" s="691">
        <f>P6*P18</f>
        <v>59.954044117647065</v>
      </c>
      <c r="Q19" s="30"/>
      <c r="R19" s="30"/>
      <c r="S19" s="30"/>
      <c r="T19" s="216"/>
    </row>
    <row r="20" spans="1:20" s="1" customFormat="1">
      <c r="A20" s="216" t="s">
        <v>220</v>
      </c>
      <c r="B20" s="216"/>
      <c r="C20" s="30"/>
      <c r="D20" s="30"/>
      <c r="E20" s="217">
        <f t="shared" ref="E20:M20" si="3">IF(AND(E7="Yes",E5=1),1,0)</f>
        <v>0</v>
      </c>
      <c r="F20" s="217">
        <f t="shared" si="3"/>
        <v>0</v>
      </c>
      <c r="G20" s="217">
        <f t="shared" si="3"/>
        <v>0</v>
      </c>
      <c r="H20" s="217">
        <f t="shared" si="3"/>
        <v>0</v>
      </c>
      <c r="I20" s="217">
        <f t="shared" si="3"/>
        <v>0</v>
      </c>
      <c r="J20" s="217">
        <f t="shared" si="3"/>
        <v>0</v>
      </c>
      <c r="K20" s="217">
        <f t="shared" si="3"/>
        <v>0</v>
      </c>
      <c r="L20" s="217">
        <f t="shared" si="3"/>
        <v>0</v>
      </c>
      <c r="M20" s="217">
        <f t="shared" si="3"/>
        <v>0</v>
      </c>
      <c r="N20" s="475"/>
      <c r="O20" s="30"/>
      <c r="P20" s="689"/>
      <c r="Q20" s="30"/>
      <c r="R20" s="30"/>
      <c r="S20" s="30"/>
      <c r="T20" s="216"/>
    </row>
    <row r="21" spans="1:20" s="1" customFormat="1">
      <c r="A21" s="28" t="s">
        <v>221</v>
      </c>
      <c r="B21" s="28"/>
      <c r="C21" s="30"/>
      <c r="D21" s="30"/>
      <c r="E21" s="475"/>
      <c r="F21" s="475"/>
      <c r="G21" s="475"/>
      <c r="H21" s="475"/>
      <c r="I21" s="475"/>
      <c r="J21" s="475"/>
      <c r="K21" s="475"/>
      <c r="L21" s="475"/>
      <c r="M21" s="475"/>
      <c r="N21" s="475"/>
      <c r="O21" s="30"/>
      <c r="P21" s="689"/>
      <c r="Q21" s="30"/>
      <c r="R21" s="30"/>
      <c r="S21" s="30"/>
      <c r="T21" s="216"/>
    </row>
    <row r="22" spans="1:20" s="1" customFormat="1">
      <c r="A22" s="216" t="s">
        <v>222</v>
      </c>
      <c r="B22" s="216"/>
      <c r="C22" s="30"/>
      <c r="D22" s="30"/>
      <c r="E22" s="525">
        <v>2</v>
      </c>
      <c r="F22" s="525">
        <v>2</v>
      </c>
      <c r="G22" s="525">
        <v>2</v>
      </c>
      <c r="H22" s="525"/>
      <c r="I22" s="525"/>
      <c r="J22" s="525"/>
      <c r="K22" s="525"/>
      <c r="L22" s="525"/>
      <c r="M22" s="525"/>
      <c r="N22" s="475"/>
      <c r="O22" s="30"/>
      <c r="P22" s="693">
        <v>2</v>
      </c>
      <c r="Q22" s="30"/>
      <c r="R22" s="30"/>
      <c r="S22" s="30"/>
      <c r="T22" s="216"/>
    </row>
    <row r="23" spans="1:20" s="1" customFormat="1">
      <c r="A23" s="216" t="s">
        <v>223</v>
      </c>
      <c r="B23" s="216"/>
      <c r="C23" s="30"/>
      <c r="D23" s="30"/>
      <c r="E23" s="509">
        <f>VLOOKUP(E$22,$D$67:$G$71,2,FALSE)</f>
        <v>0.77</v>
      </c>
      <c r="F23" s="509">
        <f t="shared" ref="F23:M23" si="4">VLOOKUP(F$22,$D$67:$G$71,2,FALSE)</f>
        <v>0.77</v>
      </c>
      <c r="G23" s="509">
        <f t="shared" si="4"/>
        <v>0.77</v>
      </c>
      <c r="H23" s="509">
        <f t="shared" si="4"/>
        <v>0</v>
      </c>
      <c r="I23" s="509">
        <f t="shared" si="4"/>
        <v>0</v>
      </c>
      <c r="J23" s="509">
        <f t="shared" si="4"/>
        <v>0</v>
      </c>
      <c r="K23" s="509">
        <f t="shared" si="4"/>
        <v>0</v>
      </c>
      <c r="L23" s="509">
        <f t="shared" si="4"/>
        <v>0</v>
      </c>
      <c r="M23" s="509">
        <f t="shared" si="4"/>
        <v>0</v>
      </c>
      <c r="N23" s="475"/>
      <c r="O23" s="30"/>
      <c r="P23" s="693">
        <f>VLOOKUP(P$22,$D$67:$F$70,2,FALSE)</f>
        <v>0.77</v>
      </c>
      <c r="Q23" s="30"/>
      <c r="R23" s="30"/>
      <c r="S23" s="30"/>
      <c r="T23" s="216"/>
    </row>
    <row r="24" spans="1:20" s="1" customFormat="1">
      <c r="A24" s="216" t="s">
        <v>224</v>
      </c>
      <c r="B24" s="216"/>
      <c r="C24" s="30"/>
      <c r="D24" s="30"/>
      <c r="E24" s="509">
        <f>VLOOKUP(E$22,$D$67:$G$71,4,FALSE)</f>
        <v>0.83</v>
      </c>
      <c r="F24" s="509">
        <f t="shared" ref="F24:M24" si="5">VLOOKUP(F$22,$D$67:$G$71,4,FALSE)</f>
        <v>0.83</v>
      </c>
      <c r="G24" s="509">
        <f t="shared" si="5"/>
        <v>0.83</v>
      </c>
      <c r="H24" s="509">
        <f t="shared" si="5"/>
        <v>0</v>
      </c>
      <c r="I24" s="509">
        <f t="shared" si="5"/>
        <v>0</v>
      </c>
      <c r="J24" s="509">
        <f t="shared" si="5"/>
        <v>0</v>
      </c>
      <c r="K24" s="509">
        <f t="shared" si="5"/>
        <v>0</v>
      </c>
      <c r="L24" s="509">
        <f t="shared" si="5"/>
        <v>0</v>
      </c>
      <c r="M24" s="509">
        <f t="shared" si="5"/>
        <v>0</v>
      </c>
      <c r="N24" s="475"/>
      <c r="O24" s="30"/>
      <c r="P24" s="693">
        <f>VLOOKUP(P$22,$D$67:$G$70,4,FALSE)</f>
        <v>0.83</v>
      </c>
      <c r="Q24" s="30"/>
      <c r="R24" s="30"/>
      <c r="S24" s="30"/>
      <c r="T24" s="216"/>
    </row>
    <row r="25" spans="1:20" s="1" customFormat="1">
      <c r="A25" s="216" t="s">
        <v>225</v>
      </c>
      <c r="B25" s="216"/>
      <c r="C25" s="30"/>
      <c r="D25" s="30"/>
      <c r="E25" s="502">
        <v>0.7</v>
      </c>
      <c r="F25" s="502">
        <v>0.7</v>
      </c>
      <c r="G25" s="502">
        <v>0.7</v>
      </c>
      <c r="H25" s="502"/>
      <c r="I25" s="502"/>
      <c r="J25" s="502"/>
      <c r="K25" s="502"/>
      <c r="L25" s="502"/>
      <c r="M25" s="502"/>
      <c r="N25" s="475"/>
      <c r="O25" s="30"/>
      <c r="P25" s="689">
        <v>0.7</v>
      </c>
      <c r="Q25" s="30"/>
      <c r="R25" s="30"/>
      <c r="S25" s="30"/>
      <c r="T25" s="216"/>
    </row>
    <row r="26" spans="1:20" s="1" customFormat="1">
      <c r="A26" s="216" t="s">
        <v>226</v>
      </c>
      <c r="B26" s="216"/>
      <c r="C26" s="30"/>
      <c r="D26" s="30"/>
      <c r="E26" s="502">
        <v>7</v>
      </c>
      <c r="F26" s="502">
        <v>7</v>
      </c>
      <c r="G26" s="502">
        <v>7</v>
      </c>
      <c r="H26" s="502"/>
      <c r="I26" s="502"/>
      <c r="J26" s="502"/>
      <c r="K26" s="502"/>
      <c r="L26" s="502"/>
      <c r="M26" s="502"/>
      <c r="N26" s="475"/>
      <c r="O26" s="30"/>
      <c r="P26" s="689">
        <v>3</v>
      </c>
      <c r="Q26" s="30"/>
      <c r="R26" s="30"/>
      <c r="S26" s="30"/>
      <c r="T26" s="216"/>
    </row>
    <row r="27" spans="1:20" s="1" customFormat="1">
      <c r="A27" s="216" t="s">
        <v>227</v>
      </c>
      <c r="B27" s="216"/>
      <c r="C27" s="30"/>
      <c r="D27" s="30"/>
      <c r="E27" s="526">
        <f>IF(E10="Yes",E13,VLOOKUP(E$26,$D$56:$F$63,2,FALSE))</f>
        <v>0.6</v>
      </c>
      <c r="F27" s="526">
        <f>IF(F10="Yes",F13,VLOOKUP(F$26,$D$56:$F$63,2,FALSE))</f>
        <v>0.6</v>
      </c>
      <c r="G27" s="526">
        <f>IF(G10="Yes",G13,VLOOKUP(G$26,$D$56:$F$63,2,FALSE))</f>
        <v>0.6</v>
      </c>
      <c r="H27" s="526">
        <f t="shared" ref="H27:M27" si="6">IF(H10="Yes",H13,VLOOKUP(H$26,$D$56:$F$63,2,FALSE))</f>
        <v>0</v>
      </c>
      <c r="I27" s="526">
        <f t="shared" si="6"/>
        <v>0</v>
      </c>
      <c r="J27" s="526">
        <f t="shared" si="6"/>
        <v>0</v>
      </c>
      <c r="K27" s="526">
        <f t="shared" si="6"/>
        <v>0</v>
      </c>
      <c r="L27" s="526">
        <f t="shared" si="6"/>
        <v>0</v>
      </c>
      <c r="M27" s="526">
        <f t="shared" si="6"/>
        <v>0</v>
      </c>
      <c r="N27" s="475"/>
      <c r="O27" s="30"/>
      <c r="P27" s="689">
        <f>VLOOKUP(P$26,$D$56:$F$62,2,FALSE)</f>
        <v>0.72</v>
      </c>
      <c r="Q27" s="30"/>
      <c r="R27" s="30"/>
      <c r="S27" s="30"/>
      <c r="T27" s="216"/>
    </row>
    <row r="28" spans="1:20" s="1" customFormat="1">
      <c r="A28" s="216" t="s">
        <v>228</v>
      </c>
      <c r="B28" s="216"/>
      <c r="C28" s="30"/>
      <c r="D28" s="30"/>
      <c r="E28" s="510">
        <f>VLOOKUP(E$26,$D$56:$F$63,3,FALSE)</f>
        <v>0.7</v>
      </c>
      <c r="F28" s="510">
        <f t="shared" ref="F28:M28" si="7">VLOOKUP(F$26,$D$56:$F$63,3,FALSE)</f>
        <v>0.7</v>
      </c>
      <c r="G28" s="510">
        <f t="shared" si="7"/>
        <v>0.7</v>
      </c>
      <c r="H28" s="510">
        <f t="shared" si="7"/>
        <v>0</v>
      </c>
      <c r="I28" s="510">
        <f t="shared" si="7"/>
        <v>0</v>
      </c>
      <c r="J28" s="510">
        <f t="shared" si="7"/>
        <v>0</v>
      </c>
      <c r="K28" s="510">
        <f t="shared" si="7"/>
        <v>0</v>
      </c>
      <c r="L28" s="510">
        <f t="shared" si="7"/>
        <v>0</v>
      </c>
      <c r="M28" s="510">
        <f t="shared" si="7"/>
        <v>0</v>
      </c>
      <c r="N28" s="475"/>
      <c r="O28" s="30"/>
      <c r="P28" s="690">
        <f>VLOOKUP(P$26,$D$56:$F$62,3,FALSE)</f>
        <v>0.8</v>
      </c>
      <c r="Q28" s="30"/>
      <c r="R28" s="30"/>
      <c r="S28" s="30"/>
      <c r="T28" s="216"/>
    </row>
    <row r="29" spans="1:20" s="1" customFormat="1">
      <c r="A29" s="216" t="s">
        <v>229</v>
      </c>
      <c r="B29" s="216"/>
      <c r="C29" s="30"/>
      <c r="D29" s="30"/>
      <c r="E29" s="217"/>
      <c r="F29" s="527">
        <v>0.9</v>
      </c>
      <c r="G29" s="67"/>
      <c r="H29" s="217"/>
      <c r="I29" s="528"/>
      <c r="J29" s="528"/>
      <c r="K29" s="528"/>
      <c r="L29" s="528"/>
      <c r="M29" s="528"/>
      <c r="N29" s="475"/>
      <c r="O29" s="30"/>
      <c r="P29" s="689"/>
      <c r="Q29" s="30"/>
      <c r="R29" s="30"/>
      <c r="S29" s="30"/>
      <c r="T29" s="216"/>
    </row>
    <row r="30" spans="1:20" s="1" customFormat="1">
      <c r="A30" s="216" t="s">
        <v>230</v>
      </c>
      <c r="B30" s="216"/>
      <c r="C30" s="30"/>
      <c r="D30" s="30"/>
      <c r="E30" s="529">
        <f t="shared" ref="E30:M30" si="8">E6*E23*E25*E27*$F$29</f>
        <v>8.3534219999999983</v>
      </c>
      <c r="F30" s="529">
        <f t="shared" si="8"/>
        <v>0</v>
      </c>
      <c r="G30" s="529">
        <f t="shared" si="8"/>
        <v>0.26195400000000002</v>
      </c>
      <c r="H30" s="529">
        <f t="shared" si="8"/>
        <v>0</v>
      </c>
      <c r="I30" s="529">
        <f t="shared" si="8"/>
        <v>0</v>
      </c>
      <c r="J30" s="529">
        <f t="shared" si="8"/>
        <v>0</v>
      </c>
      <c r="K30" s="529">
        <f t="shared" si="8"/>
        <v>0</v>
      </c>
      <c r="L30" s="529">
        <f t="shared" si="8"/>
        <v>0</v>
      </c>
      <c r="M30" s="529">
        <f t="shared" si="8"/>
        <v>0</v>
      </c>
      <c r="N30" s="522">
        <f>SUM(E30:M30)</f>
        <v>8.6153759999999977</v>
      </c>
      <c r="O30" s="30"/>
      <c r="P30" s="694">
        <f>P6*P23*P25*P27*$F$29</f>
        <v>10.355914799999999</v>
      </c>
      <c r="Q30" s="30"/>
      <c r="R30" s="30"/>
      <c r="S30" s="30"/>
      <c r="T30" s="216"/>
    </row>
    <row r="31" spans="1:20" s="1" customFormat="1">
      <c r="A31" s="30"/>
      <c r="B31" s="30"/>
      <c r="C31" s="30"/>
      <c r="D31" s="30"/>
      <c r="E31" s="30"/>
      <c r="F31" s="30"/>
      <c r="G31" s="30"/>
      <c r="H31" s="30"/>
      <c r="I31" s="30"/>
      <c r="J31" s="30"/>
      <c r="K31" s="30"/>
      <c r="L31" s="30"/>
      <c r="M31" s="216"/>
      <c r="N31" s="216"/>
      <c r="O31" s="216"/>
      <c r="P31" s="689"/>
      <c r="Q31" s="216"/>
      <c r="R31" s="216"/>
      <c r="S31" s="216"/>
      <c r="T31" s="216"/>
    </row>
    <row r="32" spans="1:20" s="7" customFormat="1" ht="14.25">
      <c r="A32" s="216" t="s">
        <v>202</v>
      </c>
      <c r="B32" s="475" t="s">
        <v>153</v>
      </c>
      <c r="C32" s="216" t="s">
        <v>231</v>
      </c>
      <c r="D32" s="216"/>
      <c r="E32" s="216"/>
      <c r="F32" s="216" t="s">
        <v>232</v>
      </c>
      <c r="G32" s="216"/>
      <c r="H32" s="216"/>
      <c r="I32" s="216"/>
      <c r="J32" s="216"/>
      <c r="K32" s="216"/>
      <c r="L32" s="216"/>
      <c r="M32" s="216"/>
      <c r="N32" s="216"/>
      <c r="O32" s="216"/>
      <c r="P32" s="689"/>
      <c r="Q32" s="216"/>
      <c r="R32" s="216"/>
      <c r="S32" s="216"/>
      <c r="T32" s="216"/>
    </row>
    <row r="33" spans="1:20" s="7" customFormat="1">
      <c r="A33" s="216" t="s">
        <v>205</v>
      </c>
      <c r="B33" s="475">
        <v>1</v>
      </c>
      <c r="C33" s="510">
        <f>SUMIF($E$5:$M$5,"=1",$E$6:$M$6)</f>
        <v>0.9</v>
      </c>
      <c r="D33" s="475"/>
      <c r="E33" s="475"/>
      <c r="F33" s="530">
        <f>SUMIF($E$5:$M$5,"=1",$E$30:$M$30)</f>
        <v>0.26195400000000002</v>
      </c>
      <c r="G33" s="216"/>
      <c r="H33" s="216"/>
      <c r="I33" s="216"/>
      <c r="J33" s="216"/>
      <c r="K33" s="216"/>
      <c r="L33" s="216"/>
      <c r="M33" s="216"/>
      <c r="N33" s="216"/>
      <c r="O33" s="216"/>
      <c r="P33" s="689"/>
      <c r="Q33" s="216"/>
      <c r="R33" s="216"/>
      <c r="S33" s="216"/>
      <c r="T33" s="216"/>
    </row>
    <row r="34" spans="1:20" s="7" customFormat="1">
      <c r="A34" s="216" t="s">
        <v>233</v>
      </c>
      <c r="B34" s="475">
        <v>2</v>
      </c>
      <c r="C34" s="510">
        <f>SUMIF($E$5:$M$5,"=2",$E$6:$M$6)</f>
        <v>0</v>
      </c>
      <c r="D34" s="475"/>
      <c r="E34" s="475"/>
      <c r="F34" s="530">
        <f>SUMIF($E$5:$M$5,"=2",$E$30:$M$30)</f>
        <v>0</v>
      </c>
      <c r="G34" s="216"/>
      <c r="H34" s="216"/>
      <c r="I34" s="216"/>
      <c r="J34" s="216"/>
      <c r="K34" s="216"/>
      <c r="L34" s="216"/>
      <c r="M34" s="216"/>
      <c r="N34" s="216"/>
      <c r="O34" s="216"/>
      <c r="P34" s="689"/>
      <c r="Q34" s="216"/>
      <c r="R34" s="216"/>
      <c r="S34" s="216"/>
      <c r="T34" s="216"/>
    </row>
    <row r="35" spans="1:20" s="7" customFormat="1">
      <c r="A35" s="216" t="s">
        <v>203</v>
      </c>
      <c r="B35" s="475">
        <v>3</v>
      </c>
      <c r="C35" s="510">
        <f>SUMIF($E$5:$M$5,"=3",$E$6:$M$6)</f>
        <v>28.7</v>
      </c>
      <c r="D35" s="475"/>
      <c r="E35" s="475"/>
      <c r="F35" s="530">
        <f>SUMIF($E$5:$M$5,"=3",$E$30:$M$30)</f>
        <v>8.3534219999999983</v>
      </c>
      <c r="G35" s="216"/>
      <c r="H35" s="216"/>
      <c r="I35" s="216"/>
      <c r="J35" s="216"/>
      <c r="K35" s="216"/>
      <c r="L35" s="216"/>
      <c r="M35" s="216"/>
      <c r="N35" s="216"/>
      <c r="O35" s="216"/>
      <c r="P35" s="690">
        <f>P30</f>
        <v>10.355914799999999</v>
      </c>
      <c r="Q35" s="216"/>
      <c r="R35" s="216"/>
      <c r="S35" s="216"/>
      <c r="T35" s="216"/>
    </row>
    <row r="36" spans="1:20" s="7" customFormat="1">
      <c r="A36" s="216" t="s">
        <v>206</v>
      </c>
      <c r="B36" s="475">
        <v>4</v>
      </c>
      <c r="C36" s="510">
        <f>SUMIF($E$5:$M$5,"=4",$E$6:$M$6)</f>
        <v>0</v>
      </c>
      <c r="D36" s="475"/>
      <c r="E36" s="475"/>
      <c r="F36" s="530">
        <f>SUMIF($E$5:$M$5,"=4",$E$30:$M$30)</f>
        <v>0</v>
      </c>
      <c r="G36" s="216"/>
      <c r="H36" s="216"/>
      <c r="I36" s="216"/>
      <c r="J36" s="216"/>
      <c r="K36" s="216"/>
      <c r="L36" s="216"/>
      <c r="M36" s="216"/>
      <c r="N36" s="216"/>
      <c r="O36" s="216"/>
      <c r="P36" s="689"/>
      <c r="Q36" s="216"/>
      <c r="R36" s="216"/>
      <c r="S36" s="216"/>
      <c r="T36" s="216"/>
    </row>
    <row r="37" spans="1:20" s="7" customFormat="1">
      <c r="A37" s="216" t="s">
        <v>204</v>
      </c>
      <c r="B37" s="475">
        <v>5</v>
      </c>
      <c r="C37" s="510">
        <f>SUMIF($E$5:$M$5,"=5",$E$6:$M$6)</f>
        <v>0</v>
      </c>
      <c r="D37" s="475"/>
      <c r="E37" s="475"/>
      <c r="F37" s="530">
        <f>SUMIF($E$5:$M$5,"=5",$E$30:$M$30)</f>
        <v>0</v>
      </c>
      <c r="G37" s="216"/>
      <c r="H37" s="216"/>
      <c r="I37" s="216"/>
      <c r="J37" s="216"/>
      <c r="K37" s="216"/>
      <c r="L37" s="216"/>
      <c r="M37" s="216"/>
      <c r="N37" s="216"/>
      <c r="O37" s="216"/>
      <c r="P37" s="689"/>
      <c r="Q37" s="216"/>
      <c r="R37" s="216"/>
      <c r="S37" s="216"/>
      <c r="T37" s="216"/>
    </row>
    <row r="38" spans="1:20" s="7" customFormat="1">
      <c r="A38" s="216" t="s">
        <v>207</v>
      </c>
      <c r="B38" s="475">
        <v>6</v>
      </c>
      <c r="C38" s="510">
        <f>SUMIF($E$5:$M$5,"=6",$E$6:$M$6)</f>
        <v>0</v>
      </c>
      <c r="D38" s="475"/>
      <c r="E38" s="475"/>
      <c r="F38" s="530">
        <f>SUMIF($E$5:$M$5,"=6",$E$30:$M$30)</f>
        <v>0</v>
      </c>
      <c r="G38" s="216"/>
      <c r="H38" s="216"/>
      <c r="I38" s="216"/>
      <c r="J38" s="216"/>
      <c r="K38" s="216"/>
      <c r="L38" s="216"/>
      <c r="M38" s="216"/>
      <c r="N38" s="216"/>
      <c r="O38" s="216"/>
      <c r="P38" s="689"/>
      <c r="Q38" s="216"/>
      <c r="R38" s="216"/>
      <c r="S38" s="216"/>
      <c r="T38" s="216"/>
    </row>
    <row r="39" spans="1:20" s="7" customFormat="1">
      <c r="A39" s="216" t="s">
        <v>234</v>
      </c>
      <c r="B39" s="475">
        <v>1</v>
      </c>
      <c r="C39" s="510">
        <f>SUMIF($E$20:$M$20,"=1",$E$6:$M$6)</f>
        <v>0</v>
      </c>
      <c r="D39" s="216"/>
      <c r="E39" s="216"/>
      <c r="F39" s="216"/>
      <c r="G39" s="216"/>
      <c r="H39" s="216"/>
      <c r="I39" s="216"/>
      <c r="J39" s="216"/>
      <c r="K39" s="216"/>
      <c r="L39" s="216"/>
      <c r="M39" s="216"/>
      <c r="N39" s="216"/>
      <c r="O39" s="216"/>
      <c r="P39" s="689"/>
      <c r="Q39" s="216"/>
      <c r="R39" s="216"/>
      <c r="S39" s="216"/>
      <c r="T39" s="216"/>
    </row>
    <row r="40" spans="1:20" s="7" customFormat="1">
      <c r="A40" s="28" t="s">
        <v>235</v>
      </c>
      <c r="B40" s="216"/>
      <c r="C40" s="216"/>
      <c r="D40" s="216"/>
      <c r="E40" s="216"/>
      <c r="F40" s="216"/>
      <c r="G40" s="216"/>
      <c r="H40" s="216"/>
      <c r="I40" s="216"/>
      <c r="J40" s="216"/>
      <c r="K40" s="216"/>
      <c r="L40" s="216"/>
      <c r="M40" s="216"/>
      <c r="N40" s="216"/>
      <c r="O40" s="216"/>
      <c r="P40" s="689"/>
      <c r="Q40" s="216"/>
      <c r="R40" s="216"/>
      <c r="S40" s="216"/>
      <c r="T40" s="216"/>
    </row>
    <row r="41" spans="1:20" s="7" customFormat="1">
      <c r="A41" s="216" t="s">
        <v>236</v>
      </c>
      <c r="B41" s="216"/>
      <c r="C41" s="531"/>
      <c r="D41" s="531"/>
      <c r="E41" s="531"/>
      <c r="F41" s="532">
        <f>IF(tfa=0,0,SUMPRODUCT(E24:M24,E6:M6,E28:M28,E25:M25)*0.9/tfa)</f>
        <v>8.5987999999999995E-2</v>
      </c>
      <c r="G41" s="531"/>
      <c r="H41" s="531"/>
      <c r="I41" s="531"/>
      <c r="J41" s="531"/>
      <c r="K41" s="531"/>
      <c r="L41" s="216"/>
      <c r="M41" s="216"/>
      <c r="N41" s="216"/>
      <c r="O41" s="216"/>
      <c r="P41" s="695">
        <f>(P6*P24*P25*P28)*0.9/tfa</f>
        <v>9.8437999999999984E-2</v>
      </c>
      <c r="Q41" s="216"/>
      <c r="R41" s="216"/>
      <c r="S41" s="216"/>
      <c r="T41" s="216"/>
    </row>
    <row r="42" spans="1:20" s="7" customFormat="1">
      <c r="A42" s="216"/>
      <c r="B42" s="216"/>
      <c r="C42" s="216"/>
      <c r="D42" s="216"/>
      <c r="E42" s="216"/>
      <c r="F42" s="216"/>
      <c r="G42" s="216"/>
      <c r="H42" s="216"/>
      <c r="I42" s="216"/>
      <c r="J42" s="216"/>
      <c r="K42" s="216"/>
      <c r="L42" s="216"/>
      <c r="M42" s="216"/>
      <c r="N42" s="216"/>
      <c r="O42" s="216"/>
      <c r="P42" s="689"/>
      <c r="Q42" s="216"/>
      <c r="R42" s="216"/>
      <c r="S42" s="216"/>
      <c r="T42" s="216"/>
    </row>
    <row r="43" spans="1:20" s="7" customFormat="1">
      <c r="A43" s="13" t="s">
        <v>237</v>
      </c>
      <c r="B43" s="216"/>
      <c r="C43" s="216"/>
      <c r="D43" s="216"/>
      <c r="E43" s="216"/>
      <c r="F43" s="216"/>
      <c r="G43" s="216"/>
      <c r="H43" s="216"/>
      <c r="I43" s="216"/>
      <c r="J43" s="216"/>
      <c r="K43" s="216"/>
      <c r="L43" s="216"/>
      <c r="M43" s="216"/>
      <c r="N43" s="216"/>
      <c r="O43" s="216"/>
      <c r="P43" s="689"/>
      <c r="Q43" s="216"/>
      <c r="R43" s="216"/>
      <c r="S43" s="216"/>
      <c r="T43" s="216"/>
    </row>
    <row r="44" spans="1:20" s="7" customFormat="1">
      <c r="A44" s="174" t="s">
        <v>238</v>
      </c>
      <c r="B44" s="216"/>
      <c r="C44" s="216"/>
      <c r="D44" s="216"/>
      <c r="E44" s="216" t="str">
        <f t="shared" ref="E44:M44" si="9">E4</f>
        <v>East/West</v>
      </c>
      <c r="F44" s="216" t="str">
        <f t="shared" si="9"/>
        <v>South</v>
      </c>
      <c r="G44" s="216" t="str">
        <f t="shared" si="9"/>
        <v>North</v>
      </c>
      <c r="H44" s="216" t="str">
        <f t="shared" si="9"/>
        <v>SE/SW</v>
      </c>
      <c r="I44" s="216" t="str">
        <f t="shared" si="9"/>
        <v>South</v>
      </c>
      <c r="J44" s="216" t="str">
        <f t="shared" si="9"/>
        <v>North</v>
      </c>
      <c r="K44" s="216" t="str">
        <f t="shared" si="9"/>
        <v>North</v>
      </c>
      <c r="L44" s="216" t="str">
        <f t="shared" si="9"/>
        <v>North</v>
      </c>
      <c r="M44" s="216" t="str">
        <f t="shared" si="9"/>
        <v>Horizontal</v>
      </c>
      <c r="N44" s="216"/>
      <c r="O44" s="216"/>
      <c r="P44" s="689"/>
      <c r="Q44" s="216"/>
      <c r="R44" s="216"/>
      <c r="S44" s="216"/>
      <c r="T44" s="216"/>
    </row>
    <row r="45" spans="1:20" s="7" customFormat="1" ht="14.25">
      <c r="A45" s="174" t="s">
        <v>239</v>
      </c>
      <c r="B45" s="216"/>
      <c r="C45" s="216"/>
      <c r="D45" s="216"/>
      <c r="E45" s="475">
        <f>VLOOKUP(E44,Summer!$A$23:$B$28,2,FALSE)</f>
        <v>111</v>
      </c>
      <c r="F45" s="475">
        <f>VLOOKUP(F44,Summer!$A$23:$B$28,2,FALSE)</f>
        <v>110</v>
      </c>
      <c r="G45" s="475">
        <f>VLOOKUP(G44,Summer!$A$23:$B$28,2,FALSE)</f>
        <v>78</v>
      </c>
      <c r="H45" s="475">
        <f>VLOOKUP(H44,Summer!$A$23:$B$28,2,FALSE)</f>
        <v>115</v>
      </c>
      <c r="I45" s="475">
        <f>VLOOKUP(I44,Summer!$A$23:$B$28,2,FALSE)</f>
        <v>110</v>
      </c>
      <c r="J45" s="475">
        <f>VLOOKUP(J44,Summer!$A$23:$B$28,2,FALSE)</f>
        <v>78</v>
      </c>
      <c r="K45" s="475">
        <f>VLOOKUP(K44,Summer!$A$23:$B$28,2,FALSE)</f>
        <v>78</v>
      </c>
      <c r="L45" s="475">
        <f>VLOOKUP(L44,Summer!$A$23:$B$28,2,FALSE)</f>
        <v>78</v>
      </c>
      <c r="M45" s="475">
        <f>VLOOKUP(M44,Summer!$A$23:$B$28,2,FALSE)</f>
        <v>185</v>
      </c>
      <c r="N45" s="216"/>
      <c r="O45" s="216"/>
      <c r="P45" s="689"/>
      <c r="Q45" s="216"/>
      <c r="R45" s="216"/>
      <c r="S45" s="216"/>
      <c r="T45" s="216"/>
    </row>
    <row r="46" spans="1:20" s="1" customFormat="1">
      <c r="A46" s="216" t="s">
        <v>240</v>
      </c>
      <c r="B46" s="216"/>
      <c r="C46" s="30"/>
      <c r="D46" s="30"/>
      <c r="E46" s="509">
        <f>VLOOKUP(E$22,$D$67:$G$71,3,FALSE)</f>
        <v>0.9</v>
      </c>
      <c r="F46" s="509">
        <f t="shared" ref="F46:M46" si="10">VLOOKUP(F$22,$D$67:$G$71,3,FALSE)</f>
        <v>0.9</v>
      </c>
      <c r="G46" s="509">
        <f t="shared" si="10"/>
        <v>0.9</v>
      </c>
      <c r="H46" s="509">
        <f t="shared" si="10"/>
        <v>0</v>
      </c>
      <c r="I46" s="509">
        <f t="shared" si="10"/>
        <v>0</v>
      </c>
      <c r="J46" s="509">
        <f t="shared" si="10"/>
        <v>0</v>
      </c>
      <c r="K46" s="509">
        <f t="shared" si="10"/>
        <v>0</v>
      </c>
      <c r="L46" s="509">
        <f t="shared" si="10"/>
        <v>0</v>
      </c>
      <c r="M46" s="509">
        <f t="shared" si="10"/>
        <v>0</v>
      </c>
      <c r="N46" s="30"/>
      <c r="O46" s="30"/>
      <c r="P46" s="693"/>
      <c r="Q46" s="30"/>
      <c r="R46" s="30"/>
      <c r="S46" s="30"/>
      <c r="T46" s="216"/>
    </row>
    <row r="47" spans="1:20" s="7" customFormat="1">
      <c r="A47" s="14" t="s">
        <v>241</v>
      </c>
      <c r="B47" s="14"/>
      <c r="C47" s="216"/>
      <c r="D47" s="216"/>
      <c r="E47" s="68">
        <v>0.85</v>
      </c>
      <c r="F47" s="68">
        <v>0.85</v>
      </c>
      <c r="G47" s="68">
        <v>0.85</v>
      </c>
      <c r="H47" s="68"/>
      <c r="I47" s="68"/>
      <c r="J47" s="68"/>
      <c r="K47" s="68"/>
      <c r="L47" s="68"/>
      <c r="M47" s="68"/>
      <c r="N47" s="216"/>
      <c r="O47" s="17"/>
      <c r="P47" s="689"/>
      <c r="Q47" s="216"/>
      <c r="R47" s="216"/>
      <c r="S47" s="216"/>
      <c r="T47" s="216"/>
    </row>
    <row r="48" spans="1:20" s="7" customFormat="1">
      <c r="A48" s="14" t="s">
        <v>242</v>
      </c>
      <c r="B48" s="14"/>
      <c r="C48" s="216"/>
      <c r="D48" s="216"/>
      <c r="E48" s="68"/>
      <c r="F48" s="68"/>
      <c r="G48" s="68"/>
      <c r="H48" s="68"/>
      <c r="I48" s="68"/>
      <c r="J48" s="68"/>
      <c r="K48" s="68"/>
      <c r="L48" s="68"/>
      <c r="M48" s="68"/>
      <c r="N48" s="216"/>
      <c r="O48" s="17"/>
      <c r="P48" s="689"/>
      <c r="Q48" s="216"/>
      <c r="R48" s="216"/>
      <c r="S48" s="216"/>
      <c r="T48" s="216"/>
    </row>
    <row r="49" spans="1:20" s="7" customFormat="1">
      <c r="A49" s="14" t="s">
        <v>243</v>
      </c>
      <c r="B49" s="216"/>
      <c r="C49" s="216"/>
      <c r="D49" s="216"/>
      <c r="E49" s="69">
        <f t="shared" ref="E49:M49" si="11">MAX(0.1*E47,E47*(E46+E48-1))</f>
        <v>8.5000000000000006E-2</v>
      </c>
      <c r="F49" s="69">
        <f t="shared" si="11"/>
        <v>8.5000000000000006E-2</v>
      </c>
      <c r="G49" s="69">
        <f t="shared" si="11"/>
        <v>8.5000000000000006E-2</v>
      </c>
      <c r="H49" s="69">
        <f t="shared" si="11"/>
        <v>0</v>
      </c>
      <c r="I49" s="69">
        <f t="shared" si="11"/>
        <v>0</v>
      </c>
      <c r="J49" s="69">
        <f t="shared" si="11"/>
        <v>0</v>
      </c>
      <c r="K49" s="69">
        <f t="shared" si="11"/>
        <v>0</v>
      </c>
      <c r="L49" s="69">
        <f t="shared" si="11"/>
        <v>0</v>
      </c>
      <c r="M49" s="69">
        <f t="shared" si="11"/>
        <v>0</v>
      </c>
      <c r="N49" s="216"/>
      <c r="O49" s="216"/>
      <c r="P49" s="689"/>
      <c r="Q49" s="216"/>
      <c r="R49" s="216"/>
      <c r="S49" s="216"/>
      <c r="T49" s="216"/>
    </row>
    <row r="50" spans="1:20" s="7" customFormat="1" ht="14.25">
      <c r="A50" s="14" t="s">
        <v>244</v>
      </c>
      <c r="B50" s="216"/>
      <c r="C50" s="216"/>
      <c r="D50" s="216"/>
      <c r="E50" s="475"/>
      <c r="F50" s="504">
        <f>SUMPRODUCT(E45:M45,E6:M6,E49:M49,E25:M25,E27:M27)*F29</f>
        <v>104.612067</v>
      </c>
      <c r="G50" s="475"/>
      <c r="H50" s="475"/>
      <c r="I50" s="475"/>
      <c r="J50" s="475"/>
      <c r="K50" s="475"/>
      <c r="L50" s="475"/>
      <c r="M50" s="475"/>
      <c r="N50" s="216"/>
      <c r="O50" s="216"/>
      <c r="P50" s="689"/>
      <c r="Q50" s="216"/>
      <c r="R50" s="216"/>
      <c r="S50" s="216"/>
      <c r="T50" s="216"/>
    </row>
    <row r="51" spans="1:20" s="7" customFormat="1">
      <c r="A51" s="216"/>
      <c r="B51" s="216"/>
      <c r="C51" s="216"/>
      <c r="D51" s="216"/>
      <c r="E51" s="216"/>
      <c r="F51" s="216"/>
      <c r="G51" s="216"/>
      <c r="H51" s="216"/>
      <c r="I51" s="216"/>
      <c r="J51" s="216"/>
      <c r="K51" s="216"/>
      <c r="L51" s="216"/>
      <c r="M51" s="216"/>
      <c r="N51" s="216"/>
      <c r="O51" s="216"/>
      <c r="P51" s="689"/>
      <c r="Q51" s="216"/>
      <c r="R51" s="216"/>
      <c r="S51" s="216"/>
      <c r="T51" s="216"/>
    </row>
    <row r="52" spans="1:20" s="7" customFormat="1">
      <c r="A52" s="216"/>
      <c r="B52" s="216"/>
      <c r="C52" s="216"/>
      <c r="D52" s="216"/>
      <c r="E52" s="216"/>
      <c r="F52" s="216"/>
      <c r="G52" s="216"/>
      <c r="H52" s="216"/>
      <c r="I52" s="216"/>
      <c r="J52" s="216"/>
      <c r="K52" s="216"/>
      <c r="L52" s="216"/>
      <c r="M52" s="216"/>
      <c r="N52" s="216"/>
      <c r="O52" s="216"/>
      <c r="P52" s="689"/>
      <c r="Q52" s="216"/>
      <c r="R52" s="216"/>
      <c r="S52" s="216"/>
      <c r="T52" s="216"/>
    </row>
    <row r="53" spans="1:20" s="7" customFormat="1">
      <c r="A53" s="10" t="s">
        <v>78</v>
      </c>
      <c r="B53" s="501"/>
      <c r="C53" s="501"/>
      <c r="D53" s="501"/>
      <c r="E53" s="501"/>
      <c r="F53" s="501"/>
      <c r="G53" s="501"/>
      <c r="H53" s="501"/>
      <c r="I53" s="501"/>
      <c r="J53" s="501"/>
      <c r="K53" s="501"/>
      <c r="L53" s="501"/>
      <c r="M53" s="501"/>
      <c r="N53" s="501"/>
      <c r="O53" s="501"/>
      <c r="P53" s="696"/>
      <c r="Q53" s="501"/>
      <c r="R53" s="501"/>
      <c r="S53" s="501"/>
      <c r="T53" s="501"/>
    </row>
    <row r="54" spans="1:20" s="1" customFormat="1">
      <c r="A54" s="10" t="s">
        <v>245</v>
      </c>
      <c r="B54" s="501"/>
      <c r="C54" s="501"/>
      <c r="D54" s="501"/>
      <c r="E54" s="501"/>
      <c r="F54" s="501"/>
      <c r="G54" s="501"/>
      <c r="H54" s="501"/>
      <c r="I54" s="501"/>
      <c r="J54" s="501"/>
      <c r="K54" s="501"/>
      <c r="L54" s="501"/>
      <c r="M54" s="501"/>
      <c r="N54" s="501"/>
      <c r="O54" s="501"/>
      <c r="P54" s="696"/>
      <c r="Q54" s="501"/>
      <c r="R54" s="501"/>
      <c r="S54" s="501"/>
      <c r="T54" s="501"/>
    </row>
    <row r="55" spans="1:20" s="1" customFormat="1">
      <c r="A55" s="501" t="s">
        <v>246</v>
      </c>
      <c r="B55" s="501"/>
      <c r="C55" s="501"/>
      <c r="D55" s="501" t="s">
        <v>153</v>
      </c>
      <c r="E55" s="501" t="s">
        <v>247</v>
      </c>
      <c r="F55" s="501" t="s">
        <v>248</v>
      </c>
      <c r="G55" s="501"/>
      <c r="H55" s="501"/>
      <c r="I55" s="501"/>
      <c r="J55" s="501"/>
      <c r="K55" s="501"/>
      <c r="L55" s="501"/>
      <c r="M55" s="501"/>
      <c r="N55" s="501"/>
      <c r="O55" s="501"/>
      <c r="P55" s="696"/>
      <c r="Q55" s="501"/>
      <c r="R55" s="501"/>
      <c r="S55" s="501"/>
      <c r="T55" s="501"/>
    </row>
    <row r="56" spans="1:20" s="1" customFormat="1">
      <c r="A56" s="501" t="s">
        <v>249</v>
      </c>
      <c r="B56" s="501"/>
      <c r="C56" s="501"/>
      <c r="D56" s="501">
        <v>1</v>
      </c>
      <c r="E56" s="501">
        <v>0.85</v>
      </c>
      <c r="F56" s="501">
        <v>0.9</v>
      </c>
      <c r="G56" s="501"/>
      <c r="H56" s="501"/>
      <c r="I56" s="501"/>
      <c r="J56" s="501"/>
      <c r="K56" s="501"/>
      <c r="L56" s="501"/>
      <c r="M56" s="501"/>
      <c r="N56" s="501"/>
      <c r="O56" s="501"/>
      <c r="P56" s="696"/>
      <c r="Q56" s="501"/>
      <c r="R56" s="501"/>
      <c r="S56" s="501"/>
      <c r="T56" s="501"/>
    </row>
    <row r="57" spans="1:20" s="1" customFormat="1">
      <c r="A57" s="501" t="s">
        <v>250</v>
      </c>
      <c r="B57" s="501"/>
      <c r="C57" s="501"/>
      <c r="D57" s="501">
        <v>2</v>
      </c>
      <c r="E57" s="501">
        <v>0.76</v>
      </c>
      <c r="F57" s="501">
        <v>0.8</v>
      </c>
      <c r="G57" s="501"/>
      <c r="H57" s="501"/>
      <c r="I57" s="501"/>
      <c r="J57" s="501"/>
      <c r="K57" s="501"/>
      <c r="L57" s="501"/>
      <c r="M57" s="501"/>
      <c r="N57" s="501"/>
      <c r="O57" s="501"/>
      <c r="P57" s="696"/>
      <c r="Q57" s="501"/>
      <c r="R57" s="501"/>
      <c r="S57" s="501"/>
      <c r="T57" s="501"/>
    </row>
    <row r="58" spans="1:20">
      <c r="A58" s="501" t="s">
        <v>251</v>
      </c>
      <c r="B58" s="501"/>
      <c r="C58" s="501"/>
      <c r="D58" s="501">
        <v>3</v>
      </c>
      <c r="E58" s="501">
        <v>0.72</v>
      </c>
      <c r="F58" s="501">
        <v>0.8</v>
      </c>
      <c r="G58" s="501"/>
      <c r="H58" s="450"/>
      <c r="I58" s="450"/>
      <c r="J58" s="450"/>
      <c r="K58" s="450"/>
      <c r="L58" s="450"/>
      <c r="M58" s="450"/>
      <c r="N58" s="450"/>
      <c r="O58" s="450"/>
      <c r="Q58" s="450"/>
      <c r="R58" s="450"/>
      <c r="S58" s="450"/>
      <c r="T58" s="450"/>
    </row>
    <row r="59" spans="1:20">
      <c r="A59" s="501" t="s">
        <v>252</v>
      </c>
      <c r="B59" s="501"/>
      <c r="C59" s="501"/>
      <c r="D59" s="501">
        <v>4</v>
      </c>
      <c r="E59" s="501">
        <v>0.63</v>
      </c>
      <c r="F59" s="501">
        <v>0.8</v>
      </c>
      <c r="G59" s="501"/>
      <c r="H59" s="450"/>
      <c r="I59" s="450"/>
      <c r="J59" s="450"/>
      <c r="K59" s="450"/>
      <c r="L59" s="450"/>
      <c r="M59" s="450"/>
      <c r="N59" s="450"/>
      <c r="O59" s="450"/>
      <c r="Q59" s="450"/>
      <c r="R59" s="450"/>
      <c r="S59" s="450"/>
      <c r="T59" s="450"/>
    </row>
    <row r="60" spans="1:20">
      <c r="A60" s="501" t="s">
        <v>253</v>
      </c>
      <c r="B60" s="501"/>
      <c r="C60" s="501"/>
      <c r="D60" s="501">
        <v>5</v>
      </c>
      <c r="E60" s="501">
        <v>0.68</v>
      </c>
      <c r="F60" s="501">
        <v>0.7</v>
      </c>
      <c r="G60" s="501"/>
      <c r="H60" s="450"/>
      <c r="I60" s="450"/>
      <c r="J60" s="450"/>
      <c r="K60" s="450"/>
      <c r="L60" s="450"/>
      <c r="M60" s="450"/>
      <c r="N60" s="450"/>
      <c r="O60" s="450"/>
      <c r="Q60" s="450"/>
      <c r="R60" s="450"/>
      <c r="S60" s="450"/>
      <c r="T60" s="450"/>
    </row>
    <row r="61" spans="1:20">
      <c r="A61" s="501" t="s">
        <v>254</v>
      </c>
      <c r="B61" s="501"/>
      <c r="C61" s="501"/>
      <c r="D61" s="501">
        <v>6</v>
      </c>
      <c r="E61" s="501">
        <v>0.64</v>
      </c>
      <c r="F61" s="501">
        <v>0.7</v>
      </c>
      <c r="G61" s="501"/>
      <c r="H61" s="450"/>
      <c r="I61" s="450"/>
      <c r="J61" s="450"/>
      <c r="K61" s="450"/>
      <c r="L61" s="450"/>
      <c r="M61" s="450"/>
      <c r="N61" s="450"/>
      <c r="O61" s="450"/>
      <c r="Q61" s="450"/>
      <c r="R61" s="450"/>
      <c r="S61" s="450"/>
      <c r="T61" s="450"/>
    </row>
    <row r="62" spans="1:20">
      <c r="A62" s="501" t="s">
        <v>255</v>
      </c>
      <c r="B62" s="501"/>
      <c r="C62" s="501"/>
      <c r="D62" s="501">
        <v>7</v>
      </c>
      <c r="E62" s="501">
        <v>0.56999999999999995</v>
      </c>
      <c r="F62" s="501">
        <v>0.7</v>
      </c>
      <c r="G62" s="501"/>
      <c r="H62" s="450"/>
      <c r="I62" s="450"/>
      <c r="J62" s="450"/>
      <c r="K62" s="450"/>
      <c r="L62" s="450"/>
      <c r="M62" s="450"/>
      <c r="N62" s="450"/>
      <c r="O62" s="450"/>
      <c r="Q62" s="450"/>
      <c r="R62" s="450"/>
      <c r="S62" s="450"/>
      <c r="T62" s="450"/>
    </row>
    <row r="63" spans="1:20">
      <c r="A63" s="501" t="s">
        <v>103</v>
      </c>
      <c r="B63" s="501"/>
      <c r="C63" s="501"/>
      <c r="D63" s="501">
        <v>0</v>
      </c>
      <c r="E63" s="501">
        <v>0</v>
      </c>
      <c r="F63" s="501">
        <v>0</v>
      </c>
      <c r="G63" s="501"/>
      <c r="H63" s="450"/>
      <c r="I63" s="450"/>
      <c r="J63" s="450"/>
      <c r="K63" s="450"/>
      <c r="L63" s="450"/>
      <c r="M63" s="450"/>
      <c r="N63" s="450"/>
      <c r="O63" s="450"/>
      <c r="Q63" s="450"/>
      <c r="R63" s="450"/>
      <c r="S63" s="450"/>
      <c r="T63" s="450"/>
    </row>
    <row r="65" spans="1:7">
      <c r="A65" s="10" t="s">
        <v>256</v>
      </c>
      <c r="B65" s="501"/>
      <c r="C65" s="501"/>
      <c r="D65" s="501"/>
      <c r="E65" s="501"/>
      <c r="F65" s="501"/>
      <c r="G65" s="450"/>
    </row>
    <row r="66" spans="1:7">
      <c r="A66" s="501" t="s">
        <v>257</v>
      </c>
      <c r="B66" s="501"/>
      <c r="C66" s="501" t="s">
        <v>258</v>
      </c>
      <c r="D66" s="501" t="s">
        <v>153</v>
      </c>
      <c r="E66" s="501" t="s">
        <v>223</v>
      </c>
      <c r="F66" s="501" t="s">
        <v>259</v>
      </c>
      <c r="G66" s="501" t="s">
        <v>224</v>
      </c>
    </row>
    <row r="67" spans="1:7">
      <c r="A67" s="501" t="s">
        <v>260</v>
      </c>
      <c r="B67" s="501"/>
      <c r="C67" s="501" t="s">
        <v>261</v>
      </c>
      <c r="D67" s="501">
        <v>4</v>
      </c>
      <c r="E67" s="501">
        <v>0.3</v>
      </c>
      <c r="F67" s="501">
        <v>0.5</v>
      </c>
      <c r="G67" s="501">
        <v>0.5</v>
      </c>
    </row>
    <row r="68" spans="1:7">
      <c r="A68" s="501" t="s">
        <v>262</v>
      </c>
      <c r="B68" s="501"/>
      <c r="C68" s="501" t="s">
        <v>263</v>
      </c>
      <c r="D68" s="501">
        <v>3</v>
      </c>
      <c r="E68" s="501">
        <v>0.54</v>
      </c>
      <c r="F68" s="501">
        <v>0.7</v>
      </c>
      <c r="G68" s="501">
        <v>0.67</v>
      </c>
    </row>
    <row r="69" spans="1:7">
      <c r="A69" s="501" t="s">
        <v>264</v>
      </c>
      <c r="B69" s="501"/>
      <c r="C69" s="501" t="s">
        <v>265</v>
      </c>
      <c r="D69" s="501">
        <v>2</v>
      </c>
      <c r="E69" s="501">
        <v>0.77</v>
      </c>
      <c r="F69" s="501">
        <v>0.9</v>
      </c>
      <c r="G69" s="501">
        <v>0.83</v>
      </c>
    </row>
    <row r="70" spans="1:7">
      <c r="A70" s="501" t="s">
        <v>266</v>
      </c>
      <c r="B70" s="501"/>
      <c r="C70" s="501" t="s">
        <v>267</v>
      </c>
      <c r="D70" s="501">
        <v>1</v>
      </c>
      <c r="E70" s="501">
        <v>1</v>
      </c>
      <c r="F70" s="501">
        <v>1</v>
      </c>
      <c r="G70" s="501">
        <v>1</v>
      </c>
    </row>
    <row r="71" spans="1:7">
      <c r="A71" s="501" t="s">
        <v>103</v>
      </c>
      <c r="B71" s="450"/>
      <c r="C71" s="450"/>
      <c r="D71" s="450">
        <v>0</v>
      </c>
      <c r="E71" s="501">
        <v>0</v>
      </c>
      <c r="F71" s="501">
        <v>0</v>
      </c>
      <c r="G71" s="501">
        <v>0</v>
      </c>
    </row>
    <row r="73" spans="1:7">
      <c r="A73" s="3" t="s">
        <v>268</v>
      </c>
      <c r="B73" s="450"/>
      <c r="C73" s="450"/>
      <c r="D73" s="450"/>
      <c r="E73" s="450"/>
      <c r="F73" s="450"/>
      <c r="G73" s="450"/>
    </row>
    <row r="74" spans="1:7">
      <c r="A74" s="3" t="s">
        <v>269</v>
      </c>
      <c r="B74" s="450"/>
      <c r="C74" s="450"/>
      <c r="D74" s="450"/>
      <c r="E74" s="450"/>
      <c r="F74" s="450"/>
      <c r="G74" s="450"/>
    </row>
    <row r="75" spans="1:7">
      <c r="A75" s="450" t="s">
        <v>98</v>
      </c>
      <c r="B75" s="450"/>
      <c r="C75" s="450"/>
      <c r="D75" s="450"/>
      <c r="E75" s="450"/>
      <c r="F75" s="450"/>
      <c r="G75" s="450"/>
    </row>
    <row r="76" spans="1:7">
      <c r="A76" s="450" t="s">
        <v>99</v>
      </c>
      <c r="B76" s="450"/>
      <c r="C76" s="450"/>
      <c r="D76" s="450"/>
      <c r="E76" s="450"/>
      <c r="F76" s="450"/>
      <c r="G76" s="450"/>
    </row>
    <row r="77" spans="1:7">
      <c r="A77" s="450" t="s">
        <v>103</v>
      </c>
      <c r="B77" s="450"/>
      <c r="C77" s="450"/>
      <c r="D77" s="450"/>
      <c r="E77" s="450"/>
      <c r="F77" s="450"/>
      <c r="G77" s="450"/>
    </row>
  </sheetData>
  <sheetProtection algorithmName="SHA-512" hashValue="QFtwsLnN4Ok2QSYKXCUwbMYPNiKIoMK/qGEH259g5b+nbQAQUSD6IpvxIbwmmseMfIDccnxaF6pFWTMltzUBRg==" saltValue="0jl82YIKXxMP9M9PMRjCPg==" spinCount="100000" sheet="1" objects="1" scenarios="1"/>
  <phoneticPr fontId="0" type="noConversion"/>
  <dataValidations count="2">
    <dataValidation type="list" allowBlank="1" showErrorMessage="1" errorTitle="Orientation" error="Select value from dropdown list." sqref="E4:M4" xr:uid="{00000000-0002-0000-0500-000000000000}">
      <formula1>$A$33:$A$38</formula1>
    </dataValidation>
    <dataValidation type="list" allowBlank="1" showErrorMessage="1" sqref="E10:M10 E7:M7" xr:uid="{00000000-0002-0000-0500-000001000000}">
      <formula1>$A$75:$A$77</formula1>
    </dataValidation>
  </dataValidations>
  <pageMargins left="0.42" right="0.43" top="1" bottom="1" header="0.5" footer="0.5"/>
  <pageSetup paperSize="9" scale="74"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S100"/>
  <sheetViews>
    <sheetView topLeftCell="A4" zoomScaleNormal="100" workbookViewId="0">
      <selection activeCell="E8" sqref="E8"/>
    </sheetView>
  </sheetViews>
  <sheetFormatPr defaultRowHeight="12.75"/>
  <cols>
    <col min="1" max="11" width="9.140625" style="8"/>
    <col min="12" max="12" width="18.28515625" style="8" customWidth="1"/>
    <col min="13" max="13" width="9.140625" style="8"/>
    <col min="14" max="14" width="12.5703125" style="8" bestFit="1" customWidth="1"/>
    <col min="15" max="15" width="9.140625" style="8" customWidth="1"/>
    <col min="16" max="16" width="9.140625" style="706" customWidth="1"/>
    <col min="17" max="17" width="9.140625" style="699" customWidth="1"/>
  </cols>
  <sheetData>
    <row r="1" spans="1:19" s="66" customFormat="1" ht="18" customHeight="1">
      <c r="A1" s="23" t="s">
        <v>270</v>
      </c>
      <c r="B1" s="26"/>
      <c r="C1" s="500"/>
      <c r="D1" s="500"/>
      <c r="E1" s="500"/>
      <c r="F1" s="27"/>
      <c r="G1" s="27"/>
      <c r="H1" s="500"/>
      <c r="I1" s="500"/>
      <c r="J1" s="500"/>
      <c r="K1" s="500"/>
      <c r="L1" s="500"/>
      <c r="M1" s="507"/>
      <c r="P1" s="835" t="s">
        <v>350</v>
      </c>
      <c r="Q1" s="835"/>
    </row>
    <row r="2" spans="1:19">
      <c r="A2" s="174" t="s">
        <v>271</v>
      </c>
      <c r="B2" s="28"/>
      <c r="C2" s="216"/>
      <c r="D2" s="174"/>
      <c r="E2" s="174"/>
      <c r="F2" s="174"/>
      <c r="G2" s="174"/>
      <c r="H2" s="174"/>
      <c r="I2" s="174"/>
      <c r="J2" s="174"/>
      <c r="K2" s="216"/>
      <c r="L2" s="216"/>
      <c r="M2" s="174"/>
      <c r="N2" s="174"/>
      <c r="O2" s="174"/>
      <c r="P2" s="697"/>
      <c r="Q2" s="698"/>
    </row>
    <row r="3" spans="1:19">
      <c r="A3" s="216" t="s">
        <v>272</v>
      </c>
      <c r="B3" s="28"/>
      <c r="C3" s="216"/>
      <c r="D3" s="475" t="s">
        <v>108</v>
      </c>
      <c r="E3" s="475" t="s">
        <v>273</v>
      </c>
      <c r="F3" s="475" t="s">
        <v>274</v>
      </c>
      <c r="G3" s="216" t="s">
        <v>275</v>
      </c>
      <c r="H3" s="216"/>
      <c r="I3" s="216"/>
      <c r="J3" s="216" t="s">
        <v>276</v>
      </c>
      <c r="K3" s="216"/>
      <c r="L3" s="216"/>
      <c r="M3" s="174" t="s">
        <v>153</v>
      </c>
      <c r="N3" s="174"/>
      <c r="O3" s="174"/>
      <c r="P3" s="697"/>
    </row>
    <row r="4" spans="1:19" ht="14.25">
      <c r="A4" s="216" t="s">
        <v>2</v>
      </c>
      <c r="B4" s="216"/>
      <c r="C4" s="216"/>
      <c r="D4" s="475" t="s">
        <v>111</v>
      </c>
      <c r="E4" s="475" t="s">
        <v>277</v>
      </c>
      <c r="F4" s="475" t="s">
        <v>278</v>
      </c>
      <c r="G4" s="216" t="s">
        <v>2</v>
      </c>
      <c r="H4" s="216"/>
      <c r="I4" s="216"/>
      <c r="J4" s="216" t="s">
        <v>279</v>
      </c>
      <c r="K4" s="216"/>
      <c r="L4" s="216"/>
      <c r="M4" s="174"/>
      <c r="N4" s="174"/>
      <c r="O4" s="174"/>
      <c r="P4" s="697" t="s">
        <v>108</v>
      </c>
      <c r="Q4" s="697" t="s">
        <v>280</v>
      </c>
    </row>
    <row r="5" spans="1:19">
      <c r="A5" s="216" t="s">
        <v>281</v>
      </c>
      <c r="B5" s="216"/>
      <c r="C5" s="216"/>
      <c r="D5" s="521">
        <f>Win!N6</f>
        <v>29.599999999999998</v>
      </c>
      <c r="E5" s="530">
        <f>IF(D5=0,0,F5/D5)</f>
        <v>0.86872586872586854</v>
      </c>
      <c r="F5" s="521">
        <f>Win!N19</f>
        <v>25.714285714285708</v>
      </c>
      <c r="G5" s="216"/>
      <c r="H5" s="174"/>
      <c r="I5" s="216"/>
      <c r="J5" s="216"/>
      <c r="K5" s="216"/>
      <c r="L5" s="174"/>
      <c r="M5" s="174"/>
      <c r="N5" s="174"/>
      <c r="O5" s="174"/>
      <c r="P5" s="700">
        <f>Win!P6</f>
        <v>29.65</v>
      </c>
      <c r="Q5" s="700">
        <f>Win!P18</f>
        <v>2.0220588235294121</v>
      </c>
    </row>
    <row r="6" spans="1:19">
      <c r="A6" s="216" t="s">
        <v>282</v>
      </c>
      <c r="B6" s="216"/>
      <c r="C6" s="216"/>
      <c r="D6" s="525">
        <v>1.85</v>
      </c>
      <c r="E6" s="525">
        <v>1.5</v>
      </c>
      <c r="F6" s="522">
        <f t="shared" ref="F6:F19" si="0">D6*E6</f>
        <v>2.7750000000000004</v>
      </c>
      <c r="G6" s="505"/>
      <c r="H6" s="216"/>
      <c r="I6" s="216"/>
      <c r="J6" s="216"/>
      <c r="K6" s="216"/>
      <c r="L6" s="174"/>
      <c r="M6" s="174"/>
      <c r="N6" s="174"/>
      <c r="O6" s="174"/>
      <c r="P6" s="697">
        <v>1.85</v>
      </c>
      <c r="Q6" s="697">
        <v>3</v>
      </c>
    </row>
    <row r="7" spans="1:19">
      <c r="A7" s="216" t="s">
        <v>283</v>
      </c>
      <c r="B7" s="216"/>
      <c r="C7" s="216"/>
      <c r="D7" s="525">
        <v>63</v>
      </c>
      <c r="E7" s="525">
        <v>0.14000000000000001</v>
      </c>
      <c r="F7" s="522">
        <f t="shared" si="0"/>
        <v>8.82</v>
      </c>
      <c r="G7" s="505"/>
      <c r="H7" s="216"/>
      <c r="I7" s="216"/>
      <c r="J7" s="833" t="s">
        <v>284</v>
      </c>
      <c r="K7" s="837"/>
      <c r="L7" s="837"/>
      <c r="M7" s="174">
        <f>VLOOKUP(J7,$B$56:$E$58,4,FALSE)</f>
        <v>1</v>
      </c>
      <c r="N7" s="174"/>
      <c r="O7" s="174"/>
      <c r="P7" s="700">
        <f>E77</f>
        <v>63</v>
      </c>
      <c r="Q7" s="697">
        <v>0.25</v>
      </c>
      <c r="S7" s="473" t="s">
        <v>2</v>
      </c>
    </row>
    <row r="8" spans="1:19">
      <c r="A8" s="507" t="s">
        <v>285</v>
      </c>
      <c r="B8" s="216"/>
      <c r="C8" s="216"/>
      <c r="D8" s="525"/>
      <c r="E8" s="525"/>
      <c r="F8" s="522">
        <f>D8*E8</f>
        <v>0</v>
      </c>
      <c r="G8" s="505"/>
      <c r="H8" s="216"/>
      <c r="I8" s="216"/>
      <c r="J8" s="833" t="s">
        <v>284</v>
      </c>
      <c r="K8" s="837"/>
      <c r="L8" s="837"/>
      <c r="M8" s="174">
        <f>VLOOKUP(J8,$B$56:$E$58,4,FALSE)</f>
        <v>1</v>
      </c>
      <c r="N8" s="450"/>
      <c r="O8" s="450"/>
      <c r="P8" s="697"/>
      <c r="Q8" s="697"/>
      <c r="S8" s="473" t="s">
        <v>2</v>
      </c>
    </row>
    <row r="9" spans="1:19">
      <c r="A9" s="507" t="s">
        <v>286</v>
      </c>
      <c r="B9" s="507"/>
      <c r="C9" s="216"/>
      <c r="D9" s="525"/>
      <c r="E9" s="525"/>
      <c r="F9" s="522">
        <f>D9*E9</f>
        <v>0</v>
      </c>
      <c r="G9" s="505"/>
      <c r="H9" s="216"/>
      <c r="I9" s="216"/>
      <c r="J9" s="833" t="s">
        <v>284</v>
      </c>
      <c r="K9" s="837"/>
      <c r="L9" s="837"/>
      <c r="M9" s="174">
        <f>VLOOKUP(J9,$B$56:$E$58,4,FALSE)</f>
        <v>1</v>
      </c>
      <c r="N9" s="450"/>
      <c r="O9" s="450"/>
      <c r="P9" s="697"/>
      <c r="Q9" s="697"/>
    </row>
    <row r="10" spans="1:19">
      <c r="A10" s="216" t="s">
        <v>287</v>
      </c>
      <c r="B10" s="216"/>
      <c r="C10" s="216"/>
      <c r="D10" s="525">
        <v>85.7</v>
      </c>
      <c r="E10" s="525">
        <v>0.13</v>
      </c>
      <c r="F10" s="522">
        <f t="shared" si="0"/>
        <v>11.141</v>
      </c>
      <c r="G10" s="505"/>
      <c r="H10" s="216"/>
      <c r="I10" s="216"/>
      <c r="J10" s="838" t="s">
        <v>288</v>
      </c>
      <c r="K10" s="839"/>
      <c r="L10" s="839"/>
      <c r="M10" s="174">
        <f>VLOOKUP(J10,$A$85:$B$86,2,FALSE)</f>
        <v>1</v>
      </c>
      <c r="N10" s="450"/>
      <c r="O10" s="450"/>
      <c r="P10" s="700">
        <f>MAX(E75-SUM(P5:P6),0)</f>
        <v>85.649999999999991</v>
      </c>
      <c r="Q10" s="697">
        <v>0.27</v>
      </c>
    </row>
    <row r="11" spans="1:19">
      <c r="A11" s="507" t="s">
        <v>289</v>
      </c>
      <c r="B11" s="216"/>
      <c r="C11" s="216"/>
      <c r="D11" s="525">
        <v>0</v>
      </c>
      <c r="E11" s="525">
        <v>0</v>
      </c>
      <c r="F11" s="522">
        <f t="shared" si="0"/>
        <v>0</v>
      </c>
      <c r="G11" s="505"/>
      <c r="H11" s="216"/>
      <c r="I11" s="216"/>
      <c r="J11" s="838" t="s">
        <v>288</v>
      </c>
      <c r="K11" s="839"/>
      <c r="L11" s="839"/>
      <c r="M11" s="174">
        <f>VLOOKUP(J11,$A$85:$B$86,2,FALSE)</f>
        <v>1</v>
      </c>
      <c r="N11" s="450"/>
      <c r="O11" s="450"/>
      <c r="P11" s="700"/>
      <c r="Q11" s="697"/>
    </row>
    <row r="12" spans="1:19">
      <c r="A12" s="507" t="s">
        <v>290</v>
      </c>
      <c r="B12" s="216"/>
      <c r="C12" s="216"/>
      <c r="D12" s="525"/>
      <c r="E12" s="525"/>
      <c r="F12" s="522">
        <f t="shared" si="0"/>
        <v>0</v>
      </c>
      <c r="G12" s="505"/>
      <c r="H12" s="216"/>
      <c r="I12" s="216"/>
      <c r="J12" s="838" t="s">
        <v>288</v>
      </c>
      <c r="K12" s="839"/>
      <c r="L12" s="839"/>
      <c r="M12" s="174">
        <f>VLOOKUP(J12,$A$85:$B$86,2,FALSE)</f>
        <v>1</v>
      </c>
      <c r="N12" s="450"/>
      <c r="O12" s="450"/>
      <c r="P12" s="700"/>
      <c r="Q12" s="697"/>
    </row>
    <row r="13" spans="1:19">
      <c r="A13" s="507" t="s">
        <v>291</v>
      </c>
      <c r="B13" s="216"/>
      <c r="C13" s="216"/>
      <c r="D13" s="525"/>
      <c r="E13" s="525"/>
      <c r="F13" s="522">
        <f t="shared" si="0"/>
        <v>0</v>
      </c>
      <c r="G13" s="505"/>
      <c r="H13" s="216"/>
      <c r="I13" s="216"/>
      <c r="J13" s="838" t="s">
        <v>288</v>
      </c>
      <c r="K13" s="839"/>
      <c r="L13" s="839"/>
      <c r="M13" s="174">
        <f>VLOOKUP(J13,$A$85:$B$86,2,FALSE)</f>
        <v>1</v>
      </c>
      <c r="N13" s="450"/>
      <c r="O13" s="450"/>
      <c r="P13" s="700"/>
      <c r="Q13" s="697"/>
    </row>
    <row r="14" spans="1:19">
      <c r="A14" s="507" t="s">
        <v>292</v>
      </c>
      <c r="B14" s="507"/>
      <c r="C14" s="216"/>
      <c r="D14" s="525"/>
      <c r="E14" s="525"/>
      <c r="F14" s="522">
        <f t="shared" si="0"/>
        <v>0</v>
      </c>
      <c r="G14" s="505"/>
      <c r="H14" s="216"/>
      <c r="I14" s="216"/>
      <c r="J14" s="838" t="s">
        <v>288</v>
      </c>
      <c r="K14" s="839"/>
      <c r="L14" s="839"/>
      <c r="M14" s="174">
        <f>VLOOKUP(J14,$A$85:$B$86,2,FALSE)</f>
        <v>1</v>
      </c>
      <c r="N14" s="450"/>
      <c r="O14" s="450"/>
      <c r="P14" s="700"/>
      <c r="Q14" s="697"/>
    </row>
    <row r="15" spans="1:19">
      <c r="A15" s="216" t="s">
        <v>293</v>
      </c>
      <c r="B15" s="216"/>
      <c r="C15" s="216"/>
      <c r="D15" s="525">
        <v>63</v>
      </c>
      <c r="E15" s="525">
        <v>0.11</v>
      </c>
      <c r="F15" s="522">
        <f t="shared" si="0"/>
        <v>6.93</v>
      </c>
      <c r="G15" s="505"/>
      <c r="H15" s="216"/>
      <c r="I15" s="216"/>
      <c r="J15" s="836" t="s">
        <v>294</v>
      </c>
      <c r="K15" s="837"/>
      <c r="L15" s="837"/>
      <c r="M15" s="174">
        <f>VLOOKUP(J15,$B$50:$E$53,4,FALSE)</f>
        <v>1</v>
      </c>
      <c r="N15" s="174"/>
      <c r="O15" s="174"/>
      <c r="P15" s="700">
        <f>E76-G82</f>
        <v>63</v>
      </c>
      <c r="Q15" s="697">
        <v>0.16</v>
      </c>
    </row>
    <row r="16" spans="1:19">
      <c r="A16" s="507" t="s">
        <v>295</v>
      </c>
      <c r="B16" s="507"/>
      <c r="C16" s="216"/>
      <c r="D16" s="525">
        <v>0</v>
      </c>
      <c r="E16" s="525">
        <v>0</v>
      </c>
      <c r="F16" s="522">
        <f t="shared" si="0"/>
        <v>0</v>
      </c>
      <c r="G16" s="505"/>
      <c r="H16" s="216"/>
      <c r="I16" s="216"/>
      <c r="J16" s="836" t="s">
        <v>294</v>
      </c>
      <c r="K16" s="837"/>
      <c r="L16" s="837"/>
      <c r="M16" s="174">
        <f>VLOOKUP(J16,$B$50:$E$53,4,FALSE)</f>
        <v>1</v>
      </c>
      <c r="N16" s="174"/>
      <c r="O16" s="174"/>
      <c r="P16" s="697"/>
    </row>
    <row r="17" spans="1:19">
      <c r="A17" s="507" t="s">
        <v>296</v>
      </c>
      <c r="B17" s="507"/>
      <c r="C17" s="216"/>
      <c r="D17" s="525"/>
      <c r="E17" s="525"/>
      <c r="F17" s="522">
        <f t="shared" si="0"/>
        <v>0</v>
      </c>
      <c r="G17" s="505"/>
      <c r="H17" s="216"/>
      <c r="I17" s="216"/>
      <c r="J17" s="836" t="s">
        <v>294</v>
      </c>
      <c r="K17" s="837"/>
      <c r="L17" s="837"/>
      <c r="M17" s="174">
        <f>VLOOKUP(J17,$B$50:$E$53,4,FALSE)</f>
        <v>1</v>
      </c>
      <c r="N17" s="174"/>
      <c r="O17" s="174"/>
      <c r="P17" s="697"/>
    </row>
    <row r="18" spans="1:19">
      <c r="A18" s="507" t="s">
        <v>297</v>
      </c>
      <c r="B18" s="507"/>
      <c r="C18" s="216"/>
      <c r="D18" s="525"/>
      <c r="E18" s="525"/>
      <c r="F18" s="522">
        <f t="shared" si="0"/>
        <v>0</v>
      </c>
      <c r="G18" s="505"/>
      <c r="H18" s="216"/>
      <c r="I18" s="216"/>
      <c r="J18" s="836" t="s">
        <v>294</v>
      </c>
      <c r="K18" s="837"/>
      <c r="L18" s="837"/>
      <c r="M18" s="174">
        <f>VLOOKUP(J18,$B$50:$E$53,4,FALSE)</f>
        <v>1</v>
      </c>
      <c r="N18" s="174"/>
      <c r="O18" s="174"/>
      <c r="P18" s="697"/>
    </row>
    <row r="19" spans="1:19">
      <c r="A19" s="507" t="s">
        <v>298</v>
      </c>
      <c r="B19" s="507"/>
      <c r="C19" s="216"/>
      <c r="D19" s="525"/>
      <c r="E19" s="525"/>
      <c r="F19" s="522">
        <f t="shared" si="0"/>
        <v>0</v>
      </c>
      <c r="G19" s="505"/>
      <c r="H19" s="216"/>
      <c r="I19" s="216"/>
      <c r="J19" s="836" t="s">
        <v>294</v>
      </c>
      <c r="K19" s="837"/>
      <c r="L19" s="837"/>
      <c r="M19" s="174">
        <f>VLOOKUP(J19,$B$50:$E$53,4,FALSE)</f>
        <v>1</v>
      </c>
      <c r="N19" s="174"/>
      <c r="O19" s="174"/>
      <c r="P19" s="697"/>
    </row>
    <row r="20" spans="1:19" ht="14.25">
      <c r="A20" s="216" t="s">
        <v>299</v>
      </c>
      <c r="B20" s="216"/>
      <c r="C20" s="216"/>
      <c r="D20" s="510">
        <f>SUM(D5:D19)</f>
        <v>243.15</v>
      </c>
      <c r="E20" s="217"/>
      <c r="F20" s="475"/>
      <c r="G20" s="216"/>
      <c r="H20" s="216"/>
      <c r="I20" s="216"/>
      <c r="J20" s="534"/>
      <c r="K20" s="216"/>
      <c r="L20" s="216"/>
      <c r="M20" s="174"/>
      <c r="N20" s="174"/>
      <c r="O20" s="174"/>
      <c r="P20" s="701" t="str">
        <f>IF(D20=SUM(P5:P15),"Ok","Mismatch?")</f>
        <v>Ok</v>
      </c>
    </row>
    <row r="21" spans="1:19">
      <c r="A21" s="507" t="s">
        <v>300</v>
      </c>
      <c r="B21" s="507"/>
      <c r="C21" s="216"/>
      <c r="D21" s="217"/>
      <c r="E21" s="217"/>
      <c r="F21" s="503">
        <f>SUM(F5:F19)</f>
        <v>55.380285714285705</v>
      </c>
      <c r="G21" s="216"/>
      <c r="H21" s="216"/>
      <c r="I21" s="216"/>
      <c r="J21" s="534"/>
      <c r="K21" s="216"/>
      <c r="L21" s="216"/>
      <c r="M21" s="174"/>
      <c r="N21" s="174"/>
      <c r="O21" s="174"/>
      <c r="P21" s="698">
        <f>SUMPRODUCT(P5:P15,Q5:Q15)</f>
        <v>114.45954411764707</v>
      </c>
    </row>
    <row r="22" spans="1:19" ht="14.25">
      <c r="A22" s="507" t="s">
        <v>301</v>
      </c>
      <c r="B22" s="507"/>
      <c r="C22" s="216"/>
      <c r="D22" s="217"/>
      <c r="E22" s="217"/>
      <c r="F22" s="450"/>
      <c r="G22" s="535">
        <v>0.05</v>
      </c>
      <c r="H22" s="174"/>
      <c r="I22" s="174"/>
      <c r="J22" s="534"/>
      <c r="K22" s="216"/>
      <c r="L22" s="216"/>
      <c r="M22" s="174"/>
      <c r="N22" s="174"/>
      <c r="O22" s="174"/>
      <c r="P22" s="699">
        <v>0.11</v>
      </c>
    </row>
    <row r="23" spans="1:19">
      <c r="A23" s="507" t="s">
        <v>302</v>
      </c>
      <c r="B23" s="507"/>
      <c r="C23" s="216"/>
      <c r="D23" s="217"/>
      <c r="E23" s="217"/>
      <c r="F23" s="219">
        <f>G22*D20</f>
        <v>12.157500000000001</v>
      </c>
      <c r="G23" s="534"/>
      <c r="H23" s="216"/>
      <c r="I23" s="174"/>
      <c r="J23" s="534"/>
      <c r="K23" s="216"/>
      <c r="L23" s="216"/>
      <c r="M23" s="174"/>
      <c r="N23" s="174"/>
      <c r="O23" s="174"/>
      <c r="P23" s="702">
        <f>P22*D20</f>
        <v>26.746500000000001</v>
      </c>
      <c r="S23" s="473" t="s">
        <v>2</v>
      </c>
    </row>
    <row r="24" spans="1:19">
      <c r="A24" s="216" t="s">
        <v>303</v>
      </c>
      <c r="B24" s="216"/>
      <c r="C24" s="216"/>
      <c r="D24" s="475"/>
      <c r="E24" s="475"/>
      <c r="F24" s="70">
        <f>F21+F23</f>
        <v>67.537785714285704</v>
      </c>
      <c r="G24" s="216"/>
      <c r="H24" s="216"/>
      <c r="I24" s="216"/>
      <c r="J24" s="536"/>
      <c r="K24" s="216"/>
      <c r="L24" s="216"/>
      <c r="M24" s="174"/>
      <c r="N24" s="174"/>
      <c r="O24" s="174"/>
      <c r="P24" s="703">
        <f>P21+P23</f>
        <v>141.20604411764708</v>
      </c>
    </row>
    <row r="25" spans="1:19">
      <c r="A25" s="216"/>
      <c r="B25" s="216"/>
      <c r="C25" s="216"/>
      <c r="D25" s="475"/>
      <c r="E25" s="475"/>
      <c r="F25" s="475"/>
      <c r="G25" s="174"/>
      <c r="H25" s="216"/>
      <c r="I25" s="216"/>
      <c r="J25" s="216"/>
      <c r="K25" s="216"/>
      <c r="L25" s="216"/>
      <c r="M25" s="174"/>
      <c r="N25" s="174"/>
      <c r="O25" s="174"/>
      <c r="P25" s="699"/>
    </row>
    <row r="26" spans="1:19">
      <c r="A26" s="13" t="s">
        <v>304</v>
      </c>
      <c r="B26" s="174"/>
      <c r="C26" s="174"/>
      <c r="D26" s="508"/>
      <c r="E26" s="508"/>
      <c r="F26" s="508"/>
      <c r="G26" s="174"/>
      <c r="H26" s="174"/>
      <c r="I26" s="174"/>
      <c r="J26" s="174"/>
      <c r="K26" s="174"/>
      <c r="L26" s="174"/>
      <c r="M26" s="174"/>
      <c r="N26" s="174"/>
      <c r="O26" s="174"/>
      <c r="P26" s="699"/>
    </row>
    <row r="27" spans="1:19">
      <c r="A27" s="216" t="s">
        <v>305</v>
      </c>
      <c r="B27" s="216"/>
      <c r="C27" s="216"/>
      <c r="D27" s="475"/>
      <c r="E27" s="475"/>
      <c r="F27" s="71">
        <f>F24+Vent!G34</f>
        <v>126.47930714821428</v>
      </c>
      <c r="G27" s="174"/>
      <c r="H27" s="174"/>
      <c r="I27" s="174"/>
      <c r="J27" s="174" t="s">
        <v>306</v>
      </c>
      <c r="K27" s="174"/>
      <c r="L27" s="174"/>
      <c r="M27" s="174"/>
      <c r="N27" s="174"/>
      <c r="O27" s="174"/>
      <c r="P27" s="704">
        <f>P24+Vent!P34</f>
        <v>216.80461248882764</v>
      </c>
    </row>
    <row r="28" spans="1:19" ht="14.25">
      <c r="A28" s="216" t="s">
        <v>307</v>
      </c>
      <c r="B28" s="216"/>
      <c r="C28" s="216"/>
      <c r="D28" s="475"/>
      <c r="E28" s="475"/>
      <c r="F28" s="72">
        <f>IF(tfa=0,0,hlc/tfa)</f>
        <v>1.0038040249858275</v>
      </c>
      <c r="G28" s="174"/>
      <c r="H28" s="174"/>
      <c r="I28" s="174"/>
      <c r="J28" s="174" t="s">
        <v>308</v>
      </c>
      <c r="K28" s="518">
        <f>Fab!F24</f>
        <v>67.537785714285704</v>
      </c>
      <c r="L28" s="174"/>
      <c r="M28" s="174"/>
      <c r="N28" s="174"/>
      <c r="O28" s="174"/>
      <c r="P28" s="705"/>
    </row>
    <row r="29" spans="1:19">
      <c r="A29" s="174"/>
      <c r="B29" s="174"/>
      <c r="C29" s="174"/>
      <c r="D29" s="174"/>
      <c r="E29" s="174"/>
      <c r="F29" s="174"/>
      <c r="G29" s="174"/>
      <c r="H29" s="174"/>
      <c r="I29" s="174"/>
      <c r="J29" s="174" t="s">
        <v>309</v>
      </c>
      <c r="K29" s="518">
        <f>Vent!G34</f>
        <v>58.941521433928571</v>
      </c>
      <c r="L29" s="174"/>
      <c r="M29" s="174"/>
      <c r="N29" s="174"/>
      <c r="O29" s="174"/>
      <c r="P29" s="697"/>
    </row>
    <row r="30" spans="1:19">
      <c r="A30" s="174"/>
      <c r="B30" s="174"/>
      <c r="C30" s="174"/>
      <c r="D30" s="174"/>
      <c r="E30" s="174"/>
      <c r="F30" s="174"/>
      <c r="G30" s="174"/>
      <c r="H30" s="174"/>
      <c r="I30" s="174"/>
      <c r="J30" s="174"/>
      <c r="K30" s="174"/>
      <c r="L30" s="518"/>
      <c r="M30" s="174"/>
      <c r="N30" s="174"/>
      <c r="O30" s="174"/>
      <c r="P30" s="697"/>
    </row>
    <row r="31" spans="1:19">
      <c r="A31" s="174"/>
      <c r="B31" s="174"/>
      <c r="C31" s="174"/>
      <c r="D31" s="174"/>
      <c r="E31" s="174"/>
      <c r="F31" s="174"/>
      <c r="G31" s="174"/>
      <c r="H31" s="174"/>
      <c r="I31" s="174"/>
      <c r="J31" s="174"/>
      <c r="K31" s="174"/>
      <c r="L31" s="518"/>
      <c r="M31" s="174"/>
      <c r="N31" s="174"/>
      <c r="O31" s="174"/>
      <c r="P31" s="697"/>
    </row>
    <row r="32" spans="1:19">
      <c r="A32" s="174"/>
      <c r="B32" s="174"/>
      <c r="C32" s="174"/>
      <c r="D32" s="174"/>
      <c r="E32" s="174"/>
      <c r="F32" s="174"/>
      <c r="G32" s="174"/>
      <c r="H32" s="174"/>
      <c r="I32" s="174"/>
      <c r="J32" s="174"/>
      <c r="K32" s="174"/>
      <c r="L32" s="518"/>
      <c r="M32" s="174"/>
      <c r="N32" s="174"/>
      <c r="O32" s="174"/>
      <c r="P32" s="697"/>
    </row>
    <row r="33" spans="1:15">
      <c r="A33" s="174"/>
      <c r="B33" s="174"/>
      <c r="C33" s="174"/>
      <c r="D33" s="174"/>
      <c r="E33" s="174"/>
      <c r="F33" s="174"/>
      <c r="G33" s="174"/>
      <c r="H33" s="174"/>
      <c r="I33" s="174"/>
      <c r="J33" s="174"/>
      <c r="K33" s="174"/>
      <c r="L33" s="518"/>
      <c r="M33" s="174"/>
      <c r="N33" s="174"/>
      <c r="O33" s="174"/>
    </row>
    <row r="34" spans="1:15">
      <c r="A34" s="174"/>
      <c r="B34" s="174"/>
      <c r="C34" s="174"/>
      <c r="D34" s="174"/>
      <c r="E34" s="174"/>
      <c r="F34" s="174"/>
      <c r="G34" s="174"/>
      <c r="H34" s="174"/>
      <c r="I34" s="216" t="s">
        <v>306</v>
      </c>
      <c r="J34" s="174"/>
      <c r="K34" s="174"/>
      <c r="L34" s="518"/>
      <c r="M34" s="174"/>
      <c r="N34" s="174"/>
      <c r="O34" s="174"/>
    </row>
    <row r="35" spans="1:15">
      <c r="A35" s="174"/>
      <c r="B35" s="174"/>
      <c r="C35" s="174"/>
      <c r="D35" s="174"/>
      <c r="E35" s="174"/>
      <c r="F35" s="174"/>
      <c r="G35" s="174"/>
      <c r="H35" s="174"/>
      <c r="I35" s="216" t="s">
        <v>310</v>
      </c>
      <c r="J35" s="173">
        <f>SUM(F7:F9)</f>
        <v>8.82</v>
      </c>
      <c r="K35" s="174"/>
      <c r="L35" s="518"/>
      <c r="M35" s="174"/>
      <c r="N35" s="174"/>
      <c r="O35" s="174"/>
    </row>
    <row r="36" spans="1:15">
      <c r="A36" s="174"/>
      <c r="B36" s="174"/>
      <c r="C36" s="174"/>
      <c r="D36" s="174"/>
      <c r="E36" s="174"/>
      <c r="F36" s="174"/>
      <c r="G36" s="174"/>
      <c r="H36" s="174"/>
      <c r="I36" s="216" t="s">
        <v>287</v>
      </c>
      <c r="J36" s="173">
        <f>SUM(F10:F14)</f>
        <v>11.141</v>
      </c>
      <c r="K36" s="174"/>
      <c r="L36" s="518"/>
      <c r="M36" s="174"/>
      <c r="N36" s="174"/>
      <c r="O36" s="174"/>
    </row>
    <row r="37" spans="1:15">
      <c r="A37" s="174"/>
      <c r="B37" s="174"/>
      <c r="C37" s="174"/>
      <c r="D37" s="174"/>
      <c r="E37" s="174"/>
      <c r="F37" s="174"/>
      <c r="G37" s="174"/>
      <c r="H37" s="174"/>
      <c r="I37" s="216" t="s">
        <v>311</v>
      </c>
      <c r="J37" s="173">
        <f>SUM(F15:F19)</f>
        <v>6.93</v>
      </c>
      <c r="K37" s="174"/>
      <c r="L37" s="518"/>
      <c r="M37" s="174"/>
      <c r="N37" s="174"/>
      <c r="O37" s="174"/>
    </row>
    <row r="38" spans="1:15">
      <c r="A38" s="174"/>
      <c r="B38" s="174"/>
      <c r="C38" s="174"/>
      <c r="D38" s="174"/>
      <c r="E38" s="174"/>
      <c r="F38" s="174"/>
      <c r="G38" s="174"/>
      <c r="H38" s="174"/>
      <c r="I38" s="216" t="s">
        <v>123</v>
      </c>
      <c r="J38" s="173">
        <f>SUM(F5:F6)</f>
        <v>28.489285714285707</v>
      </c>
      <c r="K38" s="174"/>
      <c r="L38" s="518"/>
      <c r="M38" s="174"/>
      <c r="N38" s="174"/>
      <c r="O38" s="174"/>
    </row>
    <row r="39" spans="1:15">
      <c r="A39" s="174"/>
      <c r="B39" s="174"/>
      <c r="C39" s="174"/>
      <c r="D39" s="174"/>
      <c r="E39" s="174"/>
      <c r="F39" s="174"/>
      <c r="G39" s="174"/>
      <c r="H39" s="174"/>
      <c r="I39" s="216" t="s">
        <v>312</v>
      </c>
      <c r="J39" s="518">
        <f>F23</f>
        <v>12.157500000000001</v>
      </c>
      <c r="K39" s="174"/>
      <c r="L39" s="518"/>
      <c r="M39" s="174"/>
      <c r="N39" s="174"/>
      <c r="O39" s="174"/>
    </row>
    <row r="40" spans="1:15">
      <c r="A40" s="174"/>
      <c r="B40" s="174"/>
      <c r="C40" s="174"/>
      <c r="D40" s="174"/>
      <c r="E40" s="174"/>
      <c r="F40" s="174"/>
      <c r="G40" s="174"/>
      <c r="H40" s="174"/>
      <c r="I40" s="174"/>
      <c r="J40" s="174"/>
      <c r="K40" s="174"/>
      <c r="L40" s="518"/>
      <c r="M40" s="174"/>
      <c r="N40" s="174"/>
      <c r="O40" s="174"/>
    </row>
    <row r="41" spans="1:15">
      <c r="A41" s="174"/>
      <c r="B41" s="174"/>
      <c r="C41" s="174"/>
      <c r="D41" s="174"/>
      <c r="E41" s="174"/>
      <c r="F41" s="174"/>
      <c r="G41" s="174"/>
      <c r="H41" s="174"/>
      <c r="I41" s="174"/>
      <c r="J41" s="174"/>
      <c r="K41" s="174"/>
      <c r="L41" s="518"/>
      <c r="M41" s="174"/>
      <c r="N41" s="174"/>
      <c r="O41" s="174"/>
    </row>
    <row r="42" spans="1:15">
      <c r="A42" s="537"/>
      <c r="B42" s="537"/>
      <c r="C42" s="537"/>
      <c r="D42" s="537"/>
      <c r="E42" s="152" t="s">
        <v>313</v>
      </c>
      <c r="F42" s="153">
        <f>TGDL</f>
        <v>2019</v>
      </c>
      <c r="G42" s="260" t="s">
        <v>2</v>
      </c>
      <c r="H42" s="537"/>
      <c r="I42" s="537"/>
      <c r="J42" s="537"/>
      <c r="K42" s="537"/>
      <c r="L42" s="537"/>
      <c r="M42" s="538"/>
      <c r="N42" s="174"/>
      <c r="O42" s="174"/>
    </row>
    <row r="43" spans="1:15">
      <c r="A43" s="236" t="s">
        <v>314</v>
      </c>
      <c r="B43" s="175"/>
      <c r="C43" s="175"/>
      <c r="D43" s="175"/>
      <c r="E43" s="175"/>
      <c r="F43" s="175"/>
      <c r="G43" s="175"/>
      <c r="H43" s="175"/>
      <c r="I43" s="175"/>
      <c r="J43" s="175"/>
      <c r="K43" s="175"/>
      <c r="L43" s="175"/>
      <c r="M43" s="539"/>
      <c r="N43" s="174"/>
      <c r="O43" s="174"/>
    </row>
    <row r="44" spans="1:15">
      <c r="A44" s="249"/>
      <c r="B44" s="175"/>
      <c r="C44" s="175"/>
      <c r="D44" s="175"/>
      <c r="E44" s="175"/>
      <c r="F44" s="175"/>
      <c r="G44" s="175"/>
      <c r="H44" s="175"/>
      <c r="I44" s="175"/>
      <c r="J44" s="175"/>
      <c r="K44" s="175"/>
      <c r="L44" s="175"/>
      <c r="M44" s="539"/>
      <c r="N44" s="174"/>
      <c r="O44" s="174"/>
    </row>
    <row r="45" spans="1:15">
      <c r="A45" s="124" t="s">
        <v>315</v>
      </c>
      <c r="B45" s="540"/>
      <c r="C45" s="540"/>
      <c r="D45" s="540"/>
      <c r="E45" s="540"/>
      <c r="F45" s="540"/>
      <c r="G45" s="540"/>
      <c r="H45" s="540"/>
      <c r="I45" s="540"/>
      <c r="J45" s="175"/>
      <c r="K45" s="175"/>
      <c r="L45" s="175"/>
      <c r="M45" s="539"/>
      <c r="N45" s="174"/>
      <c r="O45" s="174"/>
    </row>
    <row r="46" spans="1:15">
      <c r="A46" s="541" t="s">
        <v>316</v>
      </c>
      <c r="B46" s="540"/>
      <c r="C46" s="540"/>
      <c r="D46" s="540"/>
      <c r="E46" s="540"/>
      <c r="F46" s="540"/>
      <c r="G46" s="540"/>
      <c r="H46" s="540"/>
      <c r="I46" s="540"/>
      <c r="J46" s="175"/>
      <c r="K46" s="175"/>
      <c r="L46" s="175"/>
      <c r="M46" s="539"/>
      <c r="N46" s="174"/>
      <c r="O46" s="174"/>
    </row>
    <row r="47" spans="1:15">
      <c r="A47" s="541"/>
      <c r="B47" s="540"/>
      <c r="C47" s="540"/>
      <c r="D47" s="540"/>
      <c r="E47" s="540"/>
      <c r="F47" s="540" t="s">
        <v>317</v>
      </c>
      <c r="G47" s="540" t="s">
        <v>108</v>
      </c>
      <c r="H47" s="540" t="s">
        <v>318</v>
      </c>
      <c r="I47" s="540"/>
      <c r="J47" s="175"/>
      <c r="K47" s="175"/>
      <c r="L47" s="175"/>
      <c r="M47" s="539"/>
      <c r="N47" s="174"/>
      <c r="O47" s="174"/>
    </row>
    <row r="48" spans="1:15">
      <c r="A48" s="541" t="s">
        <v>319</v>
      </c>
      <c r="B48" s="540" t="s">
        <v>320</v>
      </c>
      <c r="C48" s="540"/>
      <c r="D48" s="540"/>
      <c r="E48" s="540" t="s">
        <v>153</v>
      </c>
      <c r="F48" s="540" t="s">
        <v>321</v>
      </c>
      <c r="G48" s="540" t="s">
        <v>322</v>
      </c>
      <c r="H48" s="540" t="s">
        <v>273</v>
      </c>
      <c r="I48" s="540"/>
      <c r="J48" s="175"/>
      <c r="K48" s="175"/>
      <c r="L48" s="175"/>
      <c r="M48" s="539"/>
      <c r="N48" s="174"/>
      <c r="O48" s="174"/>
    </row>
    <row r="49" spans="1:15" ht="14.25">
      <c r="A49" s="541"/>
      <c r="B49" s="540"/>
      <c r="C49" s="540"/>
      <c r="D49" s="540"/>
      <c r="E49" s="540"/>
      <c r="F49" s="540" t="s">
        <v>277</v>
      </c>
      <c r="G49" s="540" t="s">
        <v>323</v>
      </c>
      <c r="H49" s="540" t="s">
        <v>277</v>
      </c>
      <c r="I49" s="540"/>
      <c r="J49" s="175"/>
      <c r="K49" s="175"/>
      <c r="L49" s="175"/>
      <c r="M49" s="539"/>
      <c r="N49" s="174"/>
      <c r="O49" s="174"/>
    </row>
    <row r="50" spans="1:15">
      <c r="A50" s="541" t="s">
        <v>311</v>
      </c>
      <c r="B50" s="540" t="s">
        <v>103</v>
      </c>
      <c r="C50" s="540"/>
      <c r="D50" s="540"/>
      <c r="E50" s="540">
        <v>0</v>
      </c>
      <c r="F50" s="540"/>
      <c r="G50" s="540"/>
      <c r="H50" s="540"/>
      <c r="I50" s="540"/>
      <c r="J50" s="175"/>
      <c r="K50" s="175"/>
      <c r="L50" s="175"/>
      <c r="M50" s="539"/>
      <c r="N50" s="174"/>
      <c r="O50" s="174"/>
    </row>
    <row r="51" spans="1:15">
      <c r="A51" s="541"/>
      <c r="B51" s="540" t="s">
        <v>294</v>
      </c>
      <c r="C51" s="540"/>
      <c r="D51" s="540"/>
      <c r="E51" s="540">
        <v>1</v>
      </c>
      <c r="F51" s="542">
        <v>0.16</v>
      </c>
      <c r="G51" s="540">
        <f>SUMIF($M$15:$M$19,E51,$D$15:$D$19)</f>
        <v>63</v>
      </c>
      <c r="H51" s="543">
        <f>IF(G51=0,"-",SUMIF($M$15:$M$19,E51,$F$15:$F$19)/G51)</f>
        <v>0.11</v>
      </c>
      <c r="I51" s="544" t="str">
        <f>IF(H51="-","-",IF(H51&lt;=F51,"Complies","Does not comply"))</f>
        <v>Complies</v>
      </c>
      <c r="J51" s="175"/>
      <c r="K51" s="175"/>
      <c r="L51" s="175"/>
      <c r="M51" s="539"/>
      <c r="N51" s="174"/>
      <c r="O51" s="174"/>
    </row>
    <row r="52" spans="1:15">
      <c r="A52" s="541"/>
      <c r="B52" s="540" t="s">
        <v>324</v>
      </c>
      <c r="C52" s="540"/>
      <c r="D52" s="540"/>
      <c r="E52" s="540">
        <v>2</v>
      </c>
      <c r="F52" s="542">
        <v>0.16</v>
      </c>
      <c r="G52" s="540">
        <f>SUMIF($M$15:$M$19,E52,$D$15:$D$19)</f>
        <v>0</v>
      </c>
      <c r="H52" s="543" t="str">
        <f>IF(G52=0,"-",SUMIF($M$15:$M$19,E52,$F$15:$F$19)/G52)</f>
        <v>-</v>
      </c>
      <c r="I52" s="544" t="str">
        <f t="shared" ref="I52:I58" si="1">IF(H52="-","-",IF(H52&lt;=F52,"Complies","Does not comply"))</f>
        <v>-</v>
      </c>
      <c r="J52" s="175"/>
      <c r="K52" s="175"/>
      <c r="L52" s="175"/>
      <c r="M52" s="539"/>
      <c r="N52" s="174"/>
      <c r="O52" s="174"/>
    </row>
    <row r="53" spans="1:15">
      <c r="A53" s="541"/>
      <c r="B53" s="540" t="s">
        <v>325</v>
      </c>
      <c r="C53" s="540"/>
      <c r="D53" s="540"/>
      <c r="E53" s="540">
        <v>3</v>
      </c>
      <c r="F53" s="542">
        <v>0.2</v>
      </c>
      <c r="G53" s="540">
        <f>SUMIF($M$15:$M$19,E53,$D$15:$D$19)</f>
        <v>0</v>
      </c>
      <c r="H53" s="543" t="str">
        <f>IF(G53=0,"-",SUMIF($M$15:$M$19,E53,$F$15:$F$19)/G53)</f>
        <v>-</v>
      </c>
      <c r="I53" s="544" t="str">
        <f t="shared" si="1"/>
        <v>-</v>
      </c>
      <c r="J53" s="175"/>
      <c r="K53" s="175"/>
      <c r="L53" s="175"/>
      <c r="M53" s="539"/>
      <c r="N53" s="174"/>
      <c r="O53" s="174"/>
    </row>
    <row r="54" spans="1:15">
      <c r="A54" s="541" t="s">
        <v>287</v>
      </c>
      <c r="B54" s="540"/>
      <c r="C54" s="540"/>
      <c r="D54" s="540"/>
      <c r="E54" s="540"/>
      <c r="F54" s="545"/>
      <c r="G54" s="540"/>
      <c r="H54" s="543"/>
      <c r="I54" s="540"/>
      <c r="J54" s="175"/>
      <c r="K54" s="175"/>
      <c r="L54" s="175"/>
      <c r="M54" s="539"/>
      <c r="N54" s="174"/>
      <c r="O54" s="174"/>
    </row>
    <row r="55" spans="1:15">
      <c r="A55" s="541"/>
      <c r="B55" s="540" t="s">
        <v>287</v>
      </c>
      <c r="C55" s="540"/>
      <c r="D55" s="540"/>
      <c r="E55" s="540"/>
      <c r="F55" s="542">
        <f>IF(TGDL&lt;&gt;2011,0.18,0.21)</f>
        <v>0.18</v>
      </c>
      <c r="G55" s="540">
        <f>SUM(B96:B100)</f>
        <v>85.7</v>
      </c>
      <c r="H55" s="543">
        <f>IF(G55=0,"-",SUM(D96:D100)/G55)</f>
        <v>0.13</v>
      </c>
      <c r="I55" s="544" t="str">
        <f t="shared" si="1"/>
        <v>Complies</v>
      </c>
      <c r="J55" s="175"/>
      <c r="K55" s="175"/>
      <c r="L55" s="175"/>
      <c r="M55" s="539"/>
      <c r="N55" s="174"/>
      <c r="O55" s="174"/>
    </row>
    <row r="56" spans="1:15">
      <c r="A56" s="541" t="s">
        <v>310</v>
      </c>
      <c r="B56" s="540" t="s">
        <v>103</v>
      </c>
      <c r="C56" s="540"/>
      <c r="D56" s="540"/>
      <c r="E56" s="540">
        <v>0</v>
      </c>
      <c r="F56" s="545"/>
      <c r="G56" s="540"/>
      <c r="H56" s="543"/>
      <c r="I56" s="540"/>
      <c r="J56" s="175"/>
      <c r="K56" s="175"/>
      <c r="L56" s="175"/>
      <c r="M56" s="539"/>
      <c r="N56" s="174"/>
      <c r="O56" s="174"/>
    </row>
    <row r="57" spans="1:15">
      <c r="A57" s="541"/>
      <c r="B57" s="540" t="s">
        <v>284</v>
      </c>
      <c r="C57" s="540"/>
      <c r="D57" s="540"/>
      <c r="E57" s="540">
        <v>1</v>
      </c>
      <c r="F57" s="542">
        <f>IF(TGDL&lt;&gt;2011,0.18,0.21)</f>
        <v>0.18</v>
      </c>
      <c r="G57" s="540">
        <f>SUMIF($M$7:$M$9,E57,$D$7:$D$9)</f>
        <v>63</v>
      </c>
      <c r="H57" s="543">
        <f>IF(G57=0,"-",SUMIF($M$7:$M$9,E57,$F$7:$F$9)/G57)</f>
        <v>0.14000000000000001</v>
      </c>
      <c r="I57" s="544" t="str">
        <f t="shared" si="1"/>
        <v>Complies</v>
      </c>
      <c r="J57" s="175"/>
      <c r="K57" s="175"/>
      <c r="L57" s="175"/>
      <c r="M57" s="539"/>
      <c r="N57" s="174"/>
      <c r="O57" s="174"/>
    </row>
    <row r="58" spans="1:15">
      <c r="A58" s="541"/>
      <c r="B58" s="540" t="s">
        <v>326</v>
      </c>
      <c r="C58" s="540"/>
      <c r="D58" s="540"/>
      <c r="E58" s="540">
        <v>2</v>
      </c>
      <c r="F58" s="542">
        <v>0.15</v>
      </c>
      <c r="G58" s="540">
        <f>SUMIF($M$7:$M$9,E58,$D$7:$D$9)</f>
        <v>0</v>
      </c>
      <c r="H58" s="543" t="str">
        <f>IF(G58=0,"-",SUMIF($M$7:$M$9,E58,$F$7:$F$9)/G58)</f>
        <v>-</v>
      </c>
      <c r="I58" s="544" t="str">
        <f t="shared" si="1"/>
        <v>-</v>
      </c>
      <c r="J58" s="175"/>
      <c r="K58" s="175"/>
      <c r="L58" s="175"/>
      <c r="M58" s="539"/>
      <c r="N58" s="174"/>
      <c r="O58" s="174"/>
    </row>
    <row r="59" spans="1:15">
      <c r="A59" s="236"/>
      <c r="B59" s="296"/>
      <c r="C59" s="175"/>
      <c r="D59" s="175"/>
      <c r="E59" s="175"/>
      <c r="F59" s="175"/>
      <c r="G59" s="175"/>
      <c r="H59" s="175"/>
      <c r="I59" s="175"/>
      <c r="J59" s="175"/>
      <c r="K59" s="175"/>
      <c r="L59" s="175"/>
      <c r="M59" s="539"/>
      <c r="N59" s="174"/>
      <c r="O59" s="174"/>
    </row>
    <row r="60" spans="1:15">
      <c r="A60" s="249" t="s">
        <v>123</v>
      </c>
      <c r="B60" s="175"/>
      <c r="C60" s="175"/>
      <c r="D60" s="175"/>
      <c r="E60" s="175"/>
      <c r="F60" s="175"/>
      <c r="G60" s="175"/>
      <c r="H60" s="175"/>
      <c r="I60" s="175"/>
      <c r="J60" s="175"/>
      <c r="K60" s="175"/>
      <c r="L60" s="175"/>
      <c r="M60" s="539"/>
      <c r="N60" s="174"/>
      <c r="O60" s="174"/>
    </row>
    <row r="61" spans="1:15">
      <c r="A61" s="236" t="s">
        <v>327</v>
      </c>
      <c r="B61" s="175"/>
      <c r="C61" s="175"/>
      <c r="D61" s="175"/>
      <c r="E61" s="175"/>
      <c r="F61" s="175"/>
      <c r="G61" s="175"/>
      <c r="H61" s="546">
        <f>IF(tfa=0,0,SUM(D5:D6)/tfa)</f>
        <v>0.2496031746031746</v>
      </c>
      <c r="I61" s="175"/>
      <c r="J61" s="175"/>
      <c r="K61" s="175"/>
      <c r="L61" s="175"/>
      <c r="M61" s="539"/>
      <c r="N61" s="174"/>
      <c r="O61" s="174"/>
    </row>
    <row r="62" spans="1:15" ht="14.25">
      <c r="A62" s="236" t="s">
        <v>328</v>
      </c>
      <c r="B62" s="175"/>
      <c r="C62" s="175"/>
      <c r="D62" s="175"/>
      <c r="E62" s="175"/>
      <c r="F62" s="175"/>
      <c r="G62" s="175"/>
      <c r="H62" s="547">
        <f>IF(SUM(D5:D6)=0,0,(SUM(F5:F6)+(Win!N17-Win!N19))/SUM(D5:D6))</f>
        <v>0.93529411764705872</v>
      </c>
      <c r="I62" s="175"/>
      <c r="J62" s="175"/>
      <c r="K62" s="175"/>
      <c r="L62" s="175"/>
      <c r="M62" s="539"/>
      <c r="N62" s="174"/>
      <c r="O62" s="174"/>
    </row>
    <row r="63" spans="1:15">
      <c r="A63" s="236"/>
      <c r="B63" s="175"/>
      <c r="C63" s="175"/>
      <c r="D63" s="175"/>
      <c r="E63" s="175"/>
      <c r="F63" s="175"/>
      <c r="G63" s="175"/>
      <c r="H63" s="548" t="str">
        <f>IF(TGDL="N/A","N/A",IF(TGDL=2011,B90,B89))</f>
        <v>Complies</v>
      </c>
      <c r="I63" s="175"/>
      <c r="J63" s="175"/>
      <c r="K63" s="175"/>
      <c r="L63" s="175"/>
      <c r="M63" s="539"/>
      <c r="N63" s="174"/>
      <c r="O63" s="174"/>
    </row>
    <row r="64" spans="1:15">
      <c r="A64" s="236"/>
      <c r="B64" s="540"/>
      <c r="C64" s="540"/>
      <c r="D64" s="540"/>
      <c r="E64" s="540"/>
      <c r="F64" s="540"/>
      <c r="G64" s="540"/>
      <c r="H64" s="540"/>
      <c r="I64" s="540"/>
      <c r="J64" s="175"/>
      <c r="K64" s="175"/>
      <c r="L64" s="175"/>
      <c r="M64" s="539"/>
      <c r="N64" s="174"/>
      <c r="O64" s="174"/>
    </row>
    <row r="65" spans="1:15">
      <c r="A65" s="124" t="s">
        <v>329</v>
      </c>
      <c r="B65" s="540"/>
      <c r="C65" s="540"/>
      <c r="D65" s="540"/>
      <c r="E65" s="540"/>
      <c r="F65" s="540"/>
      <c r="G65" s="540"/>
      <c r="H65" s="540"/>
      <c r="I65" s="540"/>
      <c r="J65" s="175"/>
      <c r="K65" s="175"/>
      <c r="L65" s="175"/>
      <c r="M65" s="539"/>
      <c r="N65" s="174"/>
      <c r="O65" s="174"/>
    </row>
    <row r="66" spans="1:15" ht="14.25">
      <c r="A66" s="541" t="s">
        <v>277</v>
      </c>
      <c r="B66" s="540"/>
      <c r="C66" s="540"/>
      <c r="D66" s="540"/>
      <c r="E66" s="540" t="s">
        <v>317</v>
      </c>
      <c r="F66" s="540" t="s">
        <v>330</v>
      </c>
      <c r="G66" s="540"/>
      <c r="H66" s="540"/>
      <c r="I66" s="540"/>
      <c r="J66" s="175"/>
      <c r="K66" s="175"/>
      <c r="L66" s="175"/>
      <c r="M66" s="539"/>
      <c r="N66" s="174"/>
      <c r="O66" s="174"/>
    </row>
    <row r="67" spans="1:15">
      <c r="A67" s="541"/>
      <c r="B67" s="540"/>
      <c r="C67" s="540"/>
      <c r="D67" s="540"/>
      <c r="E67" s="540" t="s">
        <v>321</v>
      </c>
      <c r="F67" s="540" t="s">
        <v>331</v>
      </c>
      <c r="G67" s="540"/>
      <c r="H67" s="540"/>
      <c r="I67" s="540"/>
      <c r="J67" s="175"/>
      <c r="K67" s="175"/>
      <c r="L67" s="175"/>
      <c r="M67" s="539"/>
      <c r="N67" s="174"/>
      <c r="O67" s="174"/>
    </row>
    <row r="68" spans="1:15">
      <c r="A68" s="541" t="s">
        <v>311</v>
      </c>
      <c r="B68" s="540"/>
      <c r="C68" s="540"/>
      <c r="D68" s="540"/>
      <c r="E68" s="549">
        <v>0.3</v>
      </c>
      <c r="F68" s="540">
        <f>MAX(E15:E19)</f>
        <v>0.11</v>
      </c>
      <c r="G68" s="544" t="str">
        <f>IF(F68&lt;=E68,"Complies","Does not comply")</f>
        <v>Complies</v>
      </c>
      <c r="H68" s="540"/>
      <c r="I68" s="540"/>
      <c r="J68" s="175"/>
      <c r="K68" s="175"/>
      <c r="L68" s="175"/>
      <c r="M68" s="539"/>
      <c r="N68" s="174"/>
      <c r="O68" s="174"/>
    </row>
    <row r="69" spans="1:15">
      <c r="A69" s="541" t="s">
        <v>287</v>
      </c>
      <c r="B69" s="540"/>
      <c r="C69" s="540"/>
      <c r="D69" s="540"/>
      <c r="E69" s="549">
        <v>0.6</v>
      </c>
      <c r="F69" s="540">
        <f>MAX(C96:C100)</f>
        <v>0.13</v>
      </c>
      <c r="G69" s="544" t="str">
        <f>IF(F69&lt;=E69,"Complies","Does not comply")</f>
        <v>Complies</v>
      </c>
      <c r="H69" s="540"/>
      <c r="I69" s="540"/>
      <c r="J69" s="175"/>
      <c r="K69" s="175"/>
      <c r="L69" s="175"/>
      <c r="M69" s="539"/>
      <c r="N69" s="174"/>
      <c r="O69" s="174"/>
    </row>
    <row r="70" spans="1:15">
      <c r="A70" s="541" t="s">
        <v>310</v>
      </c>
      <c r="B70" s="540"/>
      <c r="C70" s="540"/>
      <c r="D70" s="540"/>
      <c r="E70" s="549">
        <v>0.6</v>
      </c>
      <c r="F70" s="540">
        <f>MAX(E7:E9)</f>
        <v>0.14000000000000001</v>
      </c>
      <c r="G70" s="544" t="str">
        <f>IF(F70&lt;=E70,"Complies","Does not comply")</f>
        <v>Complies</v>
      </c>
      <c r="H70" s="540"/>
      <c r="I70" s="540"/>
      <c r="J70" s="175"/>
      <c r="K70" s="175"/>
      <c r="L70" s="175"/>
      <c r="M70" s="539"/>
      <c r="N70" s="174"/>
      <c r="O70" s="174"/>
    </row>
    <row r="71" spans="1:15">
      <c r="A71" s="541" t="s">
        <v>332</v>
      </c>
      <c r="B71" s="540"/>
      <c r="C71" s="540"/>
      <c r="D71" s="540"/>
      <c r="E71" s="549">
        <v>3</v>
      </c>
      <c r="F71" s="540">
        <f>MAX(E6,Win!E9:M9)</f>
        <v>1.5</v>
      </c>
      <c r="G71" s="544" t="str">
        <f>IF(F71&lt;=E71,"Complies","Does not comply")</f>
        <v>Complies</v>
      </c>
      <c r="H71" s="540"/>
      <c r="I71" s="540"/>
      <c r="J71" s="175"/>
      <c r="K71" s="175"/>
      <c r="L71" s="175"/>
      <c r="M71" s="539"/>
      <c r="N71" s="174"/>
      <c r="O71" s="174"/>
    </row>
    <row r="72" spans="1:15">
      <c r="A72" s="550"/>
      <c r="B72" s="551"/>
      <c r="C72" s="551"/>
      <c r="D72" s="551"/>
      <c r="E72" s="551"/>
      <c r="F72" s="551"/>
      <c r="G72" s="551"/>
      <c r="H72" s="551"/>
      <c r="I72" s="551"/>
      <c r="J72" s="552"/>
      <c r="K72" s="552"/>
      <c r="L72" s="552"/>
      <c r="M72" s="553"/>
      <c r="N72" s="174"/>
      <c r="O72" s="174"/>
    </row>
    <row r="73" spans="1:15">
      <c r="A73" s="249" t="s">
        <v>333</v>
      </c>
      <c r="B73" s="174"/>
      <c r="C73" s="174"/>
      <c r="D73" s="174"/>
      <c r="E73" s="174"/>
      <c r="F73" s="174"/>
      <c r="G73" s="174"/>
      <c r="H73" s="174"/>
      <c r="I73" s="174"/>
      <c r="J73" s="174"/>
      <c r="K73" s="174"/>
      <c r="L73" s="174"/>
      <c r="M73" s="174"/>
      <c r="N73" s="174"/>
      <c r="O73" s="174"/>
    </row>
    <row r="74" spans="1:15">
      <c r="A74" s="33" t="s">
        <v>334</v>
      </c>
      <c r="B74" s="537"/>
      <c r="C74" s="537"/>
      <c r="D74" s="537"/>
      <c r="E74" s="538"/>
      <c r="F74" s="174"/>
      <c r="G74" s="174"/>
      <c r="H74" s="174"/>
      <c r="I74" s="174"/>
      <c r="J74" s="174"/>
      <c r="K74" s="174"/>
      <c r="L74" s="174"/>
      <c r="M74" s="174"/>
      <c r="N74" s="174"/>
      <c r="O74" s="174"/>
    </row>
    <row r="75" spans="1:15">
      <c r="A75" s="236" t="s">
        <v>335</v>
      </c>
      <c r="B75" s="175"/>
      <c r="C75" s="175"/>
      <c r="D75" s="175"/>
      <c r="E75" s="554">
        <f>SUM(D10:D14)+D6+SUM(Win!C33:C37)-Win!C39</f>
        <v>117.14999999999999</v>
      </c>
      <c r="F75" s="174"/>
      <c r="G75" s="174"/>
      <c r="H75" s="174"/>
      <c r="I75" s="174"/>
      <c r="J75" s="174"/>
      <c r="K75" s="174"/>
      <c r="L75" s="174"/>
      <c r="M75" s="174"/>
      <c r="N75" s="174"/>
      <c r="O75" s="174"/>
    </row>
    <row r="76" spans="1:15">
      <c r="A76" s="236" t="s">
        <v>336</v>
      </c>
      <c r="B76" s="175"/>
      <c r="C76" s="175"/>
      <c r="D76" s="175"/>
      <c r="E76" s="554">
        <f>SUM(D15:D19)+Win!C38+Win!C39</f>
        <v>63</v>
      </c>
      <c r="F76" s="174"/>
      <c r="G76" s="174"/>
      <c r="H76" s="174"/>
      <c r="I76" s="174"/>
      <c r="J76" s="174"/>
      <c r="K76" s="174"/>
      <c r="L76" s="174"/>
      <c r="M76" s="174"/>
      <c r="N76" s="174"/>
      <c r="O76" s="174"/>
    </row>
    <row r="77" spans="1:15">
      <c r="A77" s="236" t="s">
        <v>337</v>
      </c>
      <c r="B77" s="175"/>
      <c r="C77" s="175"/>
      <c r="D77" s="175"/>
      <c r="E77" s="554">
        <f>SUM(D7:D9)</f>
        <v>63</v>
      </c>
      <c r="F77" s="174"/>
      <c r="G77" s="174"/>
      <c r="H77" s="174"/>
      <c r="I77" s="174"/>
      <c r="J77" s="174"/>
      <c r="K77" s="174"/>
      <c r="L77" s="174"/>
      <c r="M77" s="174"/>
      <c r="N77" s="174"/>
      <c r="O77" s="174"/>
    </row>
    <row r="78" spans="1:15">
      <c r="A78" s="550"/>
      <c r="B78" s="552"/>
      <c r="C78" s="552"/>
      <c r="D78" s="552" t="s">
        <v>338</v>
      </c>
      <c r="E78" s="555">
        <f>SUM(E75:E77)</f>
        <v>243.14999999999998</v>
      </c>
      <c r="F78" s="174"/>
      <c r="G78" s="174"/>
      <c r="H78" s="174"/>
      <c r="I78" s="174"/>
      <c r="J78" s="174"/>
      <c r="K78" s="174"/>
      <c r="L78" s="174"/>
      <c r="M78" s="174"/>
      <c r="N78" s="174"/>
      <c r="O78" s="174"/>
    </row>
    <row r="80" spans="1:15">
      <c r="A80" s="123" t="s">
        <v>339</v>
      </c>
      <c r="B80" s="450"/>
      <c r="C80" s="450"/>
      <c r="D80" s="450"/>
      <c r="E80" s="450"/>
      <c r="F80" s="450"/>
      <c r="G80" s="450"/>
      <c r="H80" s="450"/>
      <c r="I80" s="450"/>
      <c r="J80" s="450"/>
      <c r="K80" s="450"/>
      <c r="L80" s="450"/>
      <c r="M80" s="450"/>
      <c r="N80" s="450"/>
      <c r="O80" s="450"/>
    </row>
    <row r="81" spans="1:7">
      <c r="A81" s="556" t="s">
        <v>340</v>
      </c>
      <c r="B81" s="450"/>
      <c r="C81" s="450"/>
      <c r="D81" s="450"/>
      <c r="E81" s="450"/>
      <c r="F81" s="450"/>
      <c r="G81" s="451">
        <f>E75+E76</f>
        <v>180.14999999999998</v>
      </c>
    </row>
    <row r="82" spans="1:7">
      <c r="A82" s="556" t="s">
        <v>341</v>
      </c>
      <c r="B82" s="450"/>
      <c r="C82" s="450"/>
      <c r="D82" s="450"/>
      <c r="E82" s="450"/>
      <c r="F82" s="450"/>
      <c r="G82" s="451">
        <f>MAX(SUM(P5:P6)-E75,0)</f>
        <v>0</v>
      </c>
    </row>
    <row r="84" spans="1:7">
      <c r="A84" s="123" t="s">
        <v>342</v>
      </c>
      <c r="B84" s="450"/>
      <c r="C84" s="450"/>
      <c r="D84" s="450"/>
      <c r="E84" s="450"/>
      <c r="F84" s="450"/>
      <c r="G84" s="450"/>
    </row>
    <row r="85" spans="1:7" ht="76.5">
      <c r="A85" s="557" t="s">
        <v>343</v>
      </c>
      <c r="B85" s="450">
        <v>0</v>
      </c>
      <c r="C85" s="450"/>
      <c r="D85" s="450"/>
      <c r="E85" s="450"/>
      <c r="F85" s="450"/>
      <c r="G85" s="450"/>
    </row>
    <row r="86" spans="1:7" ht="76.5">
      <c r="A86" s="557" t="s">
        <v>288</v>
      </c>
      <c r="B86" s="450">
        <v>1</v>
      </c>
      <c r="C86" s="450"/>
      <c r="D86" s="450"/>
      <c r="E86" s="450"/>
      <c r="F86" s="450"/>
      <c r="G86" s="450"/>
    </row>
    <row r="88" spans="1:7">
      <c r="A88" s="123" t="s">
        <v>344</v>
      </c>
      <c r="B88" s="450"/>
      <c r="C88" s="450"/>
      <c r="D88" s="450"/>
      <c r="E88" s="450"/>
      <c r="F88" s="450"/>
      <c r="G88" s="450"/>
    </row>
    <row r="89" spans="1:7">
      <c r="A89" s="557">
        <v>2019</v>
      </c>
      <c r="B89" s="450" t="str">
        <f>IF(H62&lt;=1.4,"Complies","Does not comply")</f>
        <v>Complies</v>
      </c>
      <c r="C89" s="450"/>
      <c r="D89" s="450"/>
      <c r="E89" s="450"/>
      <c r="F89" s="450"/>
      <c r="G89" s="450"/>
    </row>
    <row r="90" spans="1:7">
      <c r="A90" s="450">
        <v>2011</v>
      </c>
      <c r="B90" s="450" t="str">
        <f>IF(H61&lt;=0.3475/(H62-0.21),"Complies","Does not comply")</f>
        <v>Complies</v>
      </c>
      <c r="C90" s="450"/>
      <c r="D90" s="450"/>
      <c r="E90" s="450"/>
      <c r="F90" s="450"/>
      <c r="G90" s="450"/>
    </row>
    <row r="93" spans="1:7">
      <c r="A93" s="9" t="s">
        <v>345</v>
      </c>
      <c r="B93" s="450"/>
      <c r="C93" s="450"/>
      <c r="D93" s="450"/>
      <c r="E93" s="450"/>
      <c r="F93" s="450"/>
      <c r="G93" s="450"/>
    </row>
    <row r="94" spans="1:7" ht="32.25">
      <c r="A94" s="450"/>
      <c r="B94" s="151" t="s">
        <v>346</v>
      </c>
      <c r="C94" s="151" t="s">
        <v>347</v>
      </c>
      <c r="D94" s="151" t="s">
        <v>348</v>
      </c>
      <c r="E94" s="450"/>
      <c r="F94" s="450"/>
      <c r="G94" s="450"/>
    </row>
    <row r="95" spans="1:7">
      <c r="A95" s="450"/>
      <c r="B95" s="174"/>
      <c r="C95" s="174"/>
      <c r="D95" s="174"/>
      <c r="E95" s="450"/>
      <c r="F95" s="450"/>
      <c r="G95" s="450"/>
    </row>
    <row r="96" spans="1:7">
      <c r="A96" s="450" t="str">
        <f>A10</f>
        <v>Walls</v>
      </c>
      <c r="B96" s="174">
        <f t="shared" ref="B96:D100" si="2">$M10*D10</f>
        <v>85.7</v>
      </c>
      <c r="C96" s="174">
        <f t="shared" si="2"/>
        <v>0.13</v>
      </c>
      <c r="D96" s="174">
        <f t="shared" si="2"/>
        <v>11.141</v>
      </c>
      <c r="E96" s="450"/>
      <c r="F96" s="450"/>
      <c r="G96" s="450"/>
    </row>
    <row r="97" spans="1:4">
      <c r="A97" s="450" t="str">
        <f>A11</f>
        <v>Walls (type 2)</v>
      </c>
      <c r="B97" s="174">
        <f t="shared" si="2"/>
        <v>0</v>
      </c>
      <c r="C97" s="174">
        <f t="shared" si="2"/>
        <v>0</v>
      </c>
      <c r="D97" s="174">
        <f t="shared" si="2"/>
        <v>0</v>
      </c>
    </row>
    <row r="98" spans="1:4">
      <c r="A98" s="450" t="str">
        <f>A12</f>
        <v>Walls (type 3)</v>
      </c>
      <c r="B98" s="174">
        <f t="shared" si="2"/>
        <v>0</v>
      </c>
      <c r="C98" s="174">
        <f t="shared" si="2"/>
        <v>0</v>
      </c>
      <c r="D98" s="174">
        <f t="shared" si="2"/>
        <v>0</v>
      </c>
    </row>
    <row r="99" spans="1:4">
      <c r="A99" s="450" t="str">
        <f>A13</f>
        <v>Walls (type 4)</v>
      </c>
      <c r="B99" s="174">
        <f t="shared" si="2"/>
        <v>0</v>
      </c>
      <c r="C99" s="174">
        <f t="shared" si="2"/>
        <v>0</v>
      </c>
      <c r="D99" s="174">
        <f t="shared" si="2"/>
        <v>0</v>
      </c>
    </row>
    <row r="100" spans="1:4">
      <c r="A100" s="450" t="str">
        <f>A14</f>
        <v>Walls (type 5)</v>
      </c>
      <c r="B100" s="174">
        <f t="shared" si="2"/>
        <v>0</v>
      </c>
      <c r="C100" s="174">
        <f t="shared" si="2"/>
        <v>0</v>
      </c>
      <c r="D100" s="174">
        <f t="shared" si="2"/>
        <v>0</v>
      </c>
    </row>
  </sheetData>
  <sheetProtection algorithmName="SHA-512" hashValue="bQdaEqux7vPG/7LdRU6WERSxk3gJm/0CzLvT/KTHZRFo2P2iU/GunvuNYtMgXCA7/ncNszYKUOwQD7rZavq7fQ==" saltValue="De8qE/Yq1h3VvMZ4v/IoBA==" spinCount="100000" sheet="1" objects="1" scenarios="1"/>
  <mergeCells count="14">
    <mergeCell ref="P1:Q1"/>
    <mergeCell ref="J19:L19"/>
    <mergeCell ref="J7:L7"/>
    <mergeCell ref="J8:L8"/>
    <mergeCell ref="J9:L9"/>
    <mergeCell ref="J15:L15"/>
    <mergeCell ref="J18:L18"/>
    <mergeCell ref="J10:L10"/>
    <mergeCell ref="J11:L11"/>
    <mergeCell ref="J12:L12"/>
    <mergeCell ref="J13:L13"/>
    <mergeCell ref="J14:L14"/>
    <mergeCell ref="J16:L16"/>
    <mergeCell ref="J17:L17"/>
  </mergeCells>
  <phoneticPr fontId="0" type="noConversion"/>
  <dataValidations count="3">
    <dataValidation type="list" allowBlank="1" showErrorMessage="1" sqref="J10:L14" xr:uid="{00000000-0002-0000-0600-000002000000}">
      <formula1>$A$85:$A$86</formula1>
    </dataValidation>
    <dataValidation type="list" allowBlank="1" showErrorMessage="1" sqref="J7:L9" xr:uid="{52C9AE37-B310-4023-899F-67D7165A9E26}">
      <formula1>$B$57:$B$58</formula1>
    </dataValidation>
    <dataValidation type="list" allowBlank="1" showErrorMessage="1" sqref="J15:L19" xr:uid="{715C9B17-AB0A-4EDE-8A00-14C34AF07136}">
      <formula1>$B$51:$B$53</formula1>
    </dataValidation>
  </dataValidations>
  <pageMargins left="0.53" right="0.56000000000000005" top="1" bottom="1" header="0.5" footer="0.5"/>
  <pageSetup paperSize="9" scale="85"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A1:BF148"/>
  <sheetViews>
    <sheetView topLeftCell="A58" zoomScale="85" zoomScaleNormal="85" workbookViewId="0">
      <selection activeCell="G89" sqref="G89"/>
    </sheetView>
  </sheetViews>
  <sheetFormatPr defaultColWidth="9.140625" defaultRowHeight="12.75"/>
  <cols>
    <col min="1" max="2" width="9.140625" style="14"/>
    <col min="3" max="11" width="16.5703125" style="14" customWidth="1"/>
    <col min="12" max="12" width="9.140625" style="14"/>
    <col min="13" max="13" width="13.5703125" style="14" customWidth="1"/>
    <col min="14" max="15" width="9.140625" style="14"/>
    <col min="16" max="16" width="12.85546875" style="14" customWidth="1"/>
    <col min="17" max="18" width="9.140625" style="708" customWidth="1"/>
    <col min="19" max="21" width="9.140625" style="14"/>
    <col min="22" max="22" width="12.85546875" style="14" customWidth="1"/>
    <col min="23" max="24" width="9.140625" style="14"/>
    <col min="25" max="26" width="16.7109375" style="14" customWidth="1"/>
    <col min="27" max="28" width="9.140625" style="14"/>
    <col min="29" max="29" width="37.85546875" style="14" customWidth="1"/>
    <col min="30" max="34" width="9.140625" style="14"/>
    <col min="35" max="35" width="17" style="14" bestFit="1" customWidth="1"/>
    <col min="36" max="16384" width="9.140625" style="14"/>
  </cols>
  <sheetData>
    <row r="1" spans="1:19" s="65" customFormat="1" ht="18" customHeight="1">
      <c r="A1" s="23" t="s">
        <v>349</v>
      </c>
      <c r="B1" s="26"/>
      <c r="C1" s="500"/>
      <c r="D1" s="500"/>
      <c r="E1" s="500"/>
      <c r="F1" s="27"/>
      <c r="G1" s="27"/>
      <c r="H1" s="500"/>
      <c r="I1" s="500"/>
      <c r="J1" s="500"/>
      <c r="K1" s="500"/>
      <c r="L1" s="500"/>
      <c r="M1" s="500"/>
      <c r="N1" s="500"/>
      <c r="Q1" s="692" t="s">
        <v>350</v>
      </c>
      <c r="R1" s="707"/>
      <c r="S1" s="264"/>
    </row>
    <row r="2" spans="1:19">
      <c r="A2" s="216" t="s">
        <v>351</v>
      </c>
      <c r="B2" s="216"/>
      <c r="C2" s="216"/>
      <c r="D2" s="216"/>
      <c r="E2" s="216"/>
      <c r="F2" s="530">
        <f>IF(tfa&lt;=13.9,1,1+1.76*(1-EXP(-0.000349*(tfa-13.9)^2))+0.0013*(tfa-13.9))</f>
        <v>2.8838101636113129</v>
      </c>
      <c r="G2" s="218"/>
      <c r="H2" s="216"/>
      <c r="I2" s="216"/>
      <c r="J2" s="216"/>
      <c r="K2" s="216"/>
      <c r="L2" s="216"/>
      <c r="M2" s="216"/>
      <c r="N2" s="216"/>
      <c r="O2" s="216"/>
      <c r="P2" s="216"/>
      <c r="Q2" s="689"/>
      <c r="R2" s="689"/>
    </row>
    <row r="3" spans="1:19">
      <c r="A3" s="216"/>
      <c r="B3" s="216"/>
      <c r="C3" s="216"/>
      <c r="D3" s="216"/>
      <c r="E3" s="216"/>
      <c r="F3" s="219"/>
      <c r="G3" s="220"/>
      <c r="H3" s="216"/>
      <c r="I3" s="216"/>
      <c r="J3" s="216"/>
      <c r="K3" s="216"/>
      <c r="L3" s="216"/>
      <c r="M3" s="216"/>
      <c r="N3" s="216"/>
      <c r="O3" s="216"/>
      <c r="P3" s="216"/>
      <c r="Q3" s="689"/>
      <c r="R3" s="689"/>
    </row>
    <row r="4" spans="1:19">
      <c r="A4" s="216"/>
      <c r="B4" s="216"/>
      <c r="C4" s="216"/>
      <c r="D4" s="216"/>
      <c r="E4" s="216"/>
      <c r="G4" s="220"/>
      <c r="H4" s="216"/>
      <c r="I4" s="216"/>
      <c r="J4" s="216"/>
      <c r="K4" s="216"/>
      <c r="L4" s="216"/>
      <c r="M4" s="216"/>
      <c r="N4" s="216"/>
      <c r="O4" s="216"/>
      <c r="P4" s="216"/>
      <c r="Q4" s="689"/>
      <c r="R4" s="689"/>
    </row>
    <row r="5" spans="1:19" ht="15">
      <c r="A5" s="174" t="s">
        <v>352</v>
      </c>
      <c r="B5" s="216"/>
      <c r="C5" s="216"/>
      <c r="D5" s="216"/>
      <c r="E5" s="216"/>
      <c r="F5" s="282">
        <v>2</v>
      </c>
      <c r="G5" s="217" t="s">
        <v>2</v>
      </c>
      <c r="H5" s="216"/>
      <c r="I5" s="216"/>
      <c r="J5" s="216"/>
      <c r="K5" s="216"/>
      <c r="L5" s="216"/>
      <c r="M5" s="216"/>
      <c r="N5" s="216"/>
      <c r="O5" s="216"/>
      <c r="P5" s="216"/>
      <c r="Q5" s="689"/>
      <c r="R5" s="689"/>
    </row>
    <row r="6" spans="1:19">
      <c r="A6" s="174"/>
      <c r="B6" s="216"/>
      <c r="C6" s="216"/>
      <c r="D6" s="216"/>
      <c r="E6" s="216"/>
      <c r="F6" s="216"/>
      <c r="G6" s="220"/>
      <c r="M6" s="216"/>
      <c r="N6" s="216"/>
      <c r="O6" s="216"/>
      <c r="P6" s="216"/>
      <c r="Q6" s="689"/>
      <c r="R6" s="689"/>
    </row>
    <row r="7" spans="1:19" ht="15">
      <c r="A7" s="174" t="s">
        <v>353</v>
      </c>
      <c r="B7" s="216"/>
      <c r="C7" s="216"/>
      <c r="D7" s="216"/>
      <c r="E7" s="216"/>
      <c r="F7" s="282" t="s">
        <v>98</v>
      </c>
      <c r="G7" s="220"/>
      <c r="H7" s="216"/>
      <c r="I7" s="216"/>
      <c r="J7" s="216"/>
      <c r="K7" s="216"/>
      <c r="L7" s="216"/>
      <c r="M7" s="216"/>
      <c r="N7" s="216"/>
      <c r="O7" s="216"/>
      <c r="P7" s="216"/>
      <c r="Q7" s="689"/>
      <c r="R7" s="689"/>
    </row>
    <row r="8" spans="1:19">
      <c r="G8" s="220"/>
      <c r="H8" s="216"/>
      <c r="I8" s="216"/>
      <c r="J8" s="216"/>
      <c r="K8" s="216"/>
      <c r="L8" s="216"/>
      <c r="M8" s="216"/>
      <c r="N8" s="216"/>
      <c r="O8" s="216"/>
      <c r="P8" s="216"/>
      <c r="Q8" s="689"/>
      <c r="R8" s="689"/>
    </row>
    <row r="9" spans="1:19">
      <c r="G9" s="220"/>
      <c r="H9" s="216"/>
      <c r="I9" s="216"/>
      <c r="J9" s="216"/>
      <c r="K9" s="216"/>
      <c r="L9" s="216"/>
      <c r="M9" s="216"/>
      <c r="N9" s="216"/>
      <c r="O9" s="216"/>
      <c r="P9" s="216"/>
      <c r="Q9" s="689"/>
      <c r="R9" s="689"/>
    </row>
    <row r="10" spans="1:19">
      <c r="A10" s="28" t="s">
        <v>1364</v>
      </c>
      <c r="G10" s="220"/>
      <c r="H10" s="216"/>
      <c r="I10" s="216"/>
      <c r="J10" s="216"/>
      <c r="K10" s="216"/>
      <c r="L10" s="216"/>
      <c r="M10" s="216"/>
      <c r="N10" s="216"/>
      <c r="O10" s="216"/>
      <c r="P10" s="216"/>
      <c r="Q10" s="689"/>
      <c r="R10" s="689"/>
    </row>
    <row r="11" spans="1:19">
      <c r="A11" s="216"/>
      <c r="B11" s="174" t="s">
        <v>354</v>
      </c>
      <c r="F11" s="40">
        <f>IF(F5=0,0,IF(F7="Yes",0.45*N+0.65,0.58*N+0.83))</f>
        <v>1.9477145736250909</v>
      </c>
      <c r="G11" s="220"/>
      <c r="H11" s="216"/>
      <c r="I11" s="216"/>
      <c r="J11" s="216"/>
      <c r="K11" s="216"/>
      <c r="L11" s="216"/>
      <c r="M11" s="216"/>
      <c r="N11" s="216"/>
      <c r="O11" s="216"/>
      <c r="P11" s="216"/>
      <c r="Q11" s="689"/>
      <c r="R11" s="689"/>
    </row>
    <row r="12" spans="1:19">
      <c r="A12" s="216"/>
      <c r="B12" s="174"/>
      <c r="F12" s="40"/>
      <c r="G12" s="220"/>
      <c r="H12" s="216"/>
      <c r="I12" s="216"/>
      <c r="J12" s="216"/>
      <c r="K12" s="216"/>
      <c r="L12" s="216"/>
      <c r="M12" s="216"/>
      <c r="N12" s="216"/>
      <c r="O12" s="216"/>
      <c r="P12" s="216"/>
      <c r="Q12" s="689"/>
      <c r="R12" s="689"/>
    </row>
    <row r="13" spans="1:19" ht="38.25">
      <c r="A13" s="216"/>
      <c r="C13" s="265" t="s">
        <v>355</v>
      </c>
      <c r="D13" s="266" t="s">
        <v>356</v>
      </c>
      <c r="E13" s="266"/>
      <c r="F13" s="265" t="s">
        <v>357</v>
      </c>
      <c r="G13" s="265" t="s">
        <v>358</v>
      </c>
      <c r="H13" s="265" t="s">
        <v>359</v>
      </c>
      <c r="I13" s="265" t="s">
        <v>360</v>
      </c>
      <c r="J13" s="265" t="s">
        <v>361</v>
      </c>
      <c r="K13" s="265" t="s">
        <v>362</v>
      </c>
      <c r="L13" s="267" t="s">
        <v>363</v>
      </c>
      <c r="M13" s="265" t="s">
        <v>364</v>
      </c>
      <c r="Q13" s="689"/>
      <c r="R13" s="689"/>
    </row>
    <row r="14" spans="1:19" ht="15">
      <c r="A14" s="216"/>
      <c r="B14" s="174" t="s">
        <v>365</v>
      </c>
      <c r="C14" s="282" t="s">
        <v>99</v>
      </c>
      <c r="D14" s="846" t="s">
        <v>366</v>
      </c>
      <c r="E14" s="846"/>
      <c r="F14" s="282" t="s">
        <v>98</v>
      </c>
      <c r="G14" s="283">
        <v>7</v>
      </c>
      <c r="H14" s="14">
        <f>IF(C14="Yes",IF(D14="Instantaneous electric shower (vented or unvented)",0,MAX(G14,6)),IF(D14="Instantaneous electric shower (vented or unvented)",0,IF(F14="Yes",6,VLOOKUP(D14,$A$126:$C$131,2,FALSE))))</f>
        <v>6</v>
      </c>
      <c r="I14" s="14">
        <f>H14*6</f>
        <v>36</v>
      </c>
      <c r="J14" s="40">
        <f>IF($F$5=0,0,I14*$F$11/$F$5)</f>
        <v>35.058862325251638</v>
      </c>
      <c r="K14" s="133">
        <f>(41-M141)/(52-M141)</f>
        <v>0.71948186238891065</v>
      </c>
      <c r="L14" s="40">
        <f>J14*$K$14</f>
        <v>25.224215559008464</v>
      </c>
      <c r="M14" s="14">
        <f>IF(D14=$A$131,1,0)</f>
        <v>0</v>
      </c>
      <c r="P14" s="14" t="s">
        <v>367</v>
      </c>
      <c r="Q14" s="708">
        <v>12</v>
      </c>
      <c r="R14" s="692" t="s">
        <v>368</v>
      </c>
    </row>
    <row r="15" spans="1:19" ht="15">
      <c r="A15" s="216"/>
      <c r="B15" s="174" t="s">
        <v>369</v>
      </c>
      <c r="C15" s="282" t="s">
        <v>99</v>
      </c>
      <c r="D15" s="846" t="s">
        <v>372</v>
      </c>
      <c r="E15" s="846"/>
      <c r="F15" s="282" t="s">
        <v>98</v>
      </c>
      <c r="G15" s="283">
        <v>7</v>
      </c>
      <c r="H15" s="14">
        <f>IF(C15="Yes",IF(D15="Instantaneous electric shower (vented or unvented)",0,MAX(G15,6)),IF(D15="Instantaneous electric shower (vented or unvented)",0,IF(F15="Yes",6,VLOOKUP(D15,$A$126:$C$131,2,FALSE))))</f>
        <v>6</v>
      </c>
      <c r="I15" s="14">
        <f t="shared" ref="I15:I18" si="0">H15*6</f>
        <v>36</v>
      </c>
      <c r="J15" s="14">
        <f>IF($F$5&gt;1,I15*$F$11/$F$5,0)</f>
        <v>35.058862325251638</v>
      </c>
      <c r="L15" s="40">
        <f t="shared" ref="L15:L18" si="1">J15*$K$14</f>
        <v>25.224215559008464</v>
      </c>
      <c r="M15" s="14">
        <f>IF($F$5&gt;1,IF(D15=$A$131,1,0),0)</f>
        <v>0</v>
      </c>
      <c r="P15" s="14" t="s">
        <v>370</v>
      </c>
      <c r="Q15" s="690">
        <f>Q14*F11*6</f>
        <v>140.23544930100655</v>
      </c>
      <c r="R15" s="689"/>
    </row>
    <row r="16" spans="1:19" ht="15">
      <c r="A16" s="216"/>
      <c r="B16" s="174" t="s">
        <v>371</v>
      </c>
      <c r="C16" s="282" t="s">
        <v>98</v>
      </c>
      <c r="D16" s="846" t="s">
        <v>372</v>
      </c>
      <c r="E16" s="846"/>
      <c r="F16" s="282" t="s">
        <v>99</v>
      </c>
      <c r="G16" s="283">
        <v>7</v>
      </c>
      <c r="H16" s="14">
        <f>IF(C16="Yes",IF(D16="Instantaneous electric shower (vented or unvented)",0,MAX(G16,6)),IF(D16="Instantaneous electric shower (vented or unvented)",0,IF(F16="Yes",6,VLOOKUP(D16,$A$126:$C$131,2,FALSE))))</f>
        <v>7</v>
      </c>
      <c r="I16" s="14">
        <f t="shared" si="0"/>
        <v>42</v>
      </c>
      <c r="J16" s="14">
        <f>IF($F$5&gt;2,I16*$F$11/$F$5,0)</f>
        <v>0</v>
      </c>
      <c r="L16" s="40">
        <f t="shared" si="1"/>
        <v>0</v>
      </c>
      <c r="M16" s="14">
        <f>IF($F$5&gt;2,IF(D16=$A$131,1,0),0)</f>
        <v>0</v>
      </c>
      <c r="P16" s="14" t="s">
        <v>373</v>
      </c>
      <c r="Q16" s="690">
        <f>K14*Q15</f>
        <v>100.89686223603385</v>
      </c>
      <c r="R16" s="689" t="s">
        <v>374</v>
      </c>
    </row>
    <row r="17" spans="1:18" ht="15">
      <c r="B17" s="174" t="s">
        <v>375</v>
      </c>
      <c r="C17" s="282" t="s">
        <v>98</v>
      </c>
      <c r="D17" s="846" t="s">
        <v>372</v>
      </c>
      <c r="E17" s="846"/>
      <c r="F17" s="282" t="s">
        <v>99</v>
      </c>
      <c r="G17" s="283">
        <v>7</v>
      </c>
      <c r="H17" s="14">
        <f>IF(C17="Yes",IF(D17="Instantaneous electric shower (vented or unvented)",0,MAX(G17,6)),IF(D17="Instantaneous electric shower (vented or unvented)",0,IF(F17="Yes",6,VLOOKUP(D17,$A$126:$C$131,2,FALSE))))</f>
        <v>7</v>
      </c>
      <c r="I17" s="14">
        <f t="shared" si="0"/>
        <v>42</v>
      </c>
      <c r="J17" s="14">
        <f>IF($F$5&gt;3,I17*$F$11/$F$5,0)</f>
        <v>0</v>
      </c>
      <c r="L17" s="40">
        <f t="shared" si="1"/>
        <v>0</v>
      </c>
      <c r="M17" s="14">
        <f>IF($F$5&gt;3,IF(D17=$A$131,1,0),0)</f>
        <v>0</v>
      </c>
      <c r="Q17" s="689"/>
      <c r="R17" s="689"/>
    </row>
    <row r="18" spans="1:18" ht="15">
      <c r="B18" s="174" t="s">
        <v>377</v>
      </c>
      <c r="C18" s="282" t="s">
        <v>98</v>
      </c>
      <c r="D18" s="846" t="s">
        <v>372</v>
      </c>
      <c r="E18" s="846"/>
      <c r="F18" s="282" t="s">
        <v>99</v>
      </c>
      <c r="G18" s="283">
        <v>7</v>
      </c>
      <c r="H18" s="14">
        <f>IF(C18="Yes",IF(D18="Instantaneous electric shower (vented or unvented)",0,MAX(G18,6)),IF(D18="Instantaneous electric shower (vented or unvented)",0,IF(F18="Yes",6,VLOOKUP(D18,$A$126:$C$131,2,FALSE))))</f>
        <v>7</v>
      </c>
      <c r="I18" s="14">
        <f t="shared" si="0"/>
        <v>42</v>
      </c>
      <c r="J18" s="14">
        <f>IF($F$5&gt;4,I18*$F$11/$F$5,0)</f>
        <v>0</v>
      </c>
      <c r="L18" s="40">
        <f t="shared" si="1"/>
        <v>0</v>
      </c>
      <c r="M18" s="14">
        <f>IF($F$5&gt;4,IF(D18=$A$131,1,0),0)</f>
        <v>0</v>
      </c>
      <c r="Q18" s="689"/>
      <c r="R18" s="689"/>
    </row>
    <row r="19" spans="1:18">
      <c r="A19" s="216"/>
      <c r="B19" s="216"/>
      <c r="C19" s="216"/>
      <c r="D19" s="216"/>
      <c r="E19" s="216"/>
      <c r="F19" s="219"/>
      <c r="G19" s="220"/>
      <c r="H19" s="216"/>
      <c r="I19" s="216"/>
      <c r="J19" s="216"/>
      <c r="K19" s="216"/>
      <c r="L19" s="216"/>
      <c r="M19" s="216">
        <f>SUM(M14:M18)</f>
        <v>0</v>
      </c>
      <c r="N19" s="216"/>
      <c r="O19" s="216"/>
      <c r="P19" s="216"/>
      <c r="Q19" s="689"/>
      <c r="R19" s="689"/>
    </row>
    <row r="20" spans="1:18">
      <c r="A20" s="216"/>
      <c r="B20" s="216"/>
      <c r="C20" s="216"/>
      <c r="D20" s="216"/>
      <c r="E20" s="216"/>
      <c r="F20" s="219"/>
      <c r="G20" s="220"/>
      <c r="H20" s="216"/>
      <c r="I20" s="216"/>
      <c r="J20" s="216"/>
      <c r="K20" s="268" t="s">
        <v>378</v>
      </c>
      <c r="L20" s="558">
        <f>SUM(L14:L18)</f>
        <v>50.448431118016927</v>
      </c>
      <c r="M20" s="216" t="s">
        <v>374</v>
      </c>
      <c r="N20" s="216"/>
      <c r="O20" s="216"/>
      <c r="P20" s="216"/>
      <c r="Q20" s="689"/>
      <c r="R20" s="689"/>
    </row>
    <row r="21" spans="1:18">
      <c r="A21" s="216"/>
      <c r="B21" s="216"/>
      <c r="C21" s="216"/>
      <c r="E21" s="848" t="s">
        <v>379</v>
      </c>
      <c r="F21" s="848"/>
      <c r="G21" s="219"/>
      <c r="H21" s="220"/>
      <c r="I21" s="216"/>
      <c r="J21" s="216"/>
      <c r="K21" s="216"/>
      <c r="L21" s="216"/>
      <c r="M21" s="216"/>
      <c r="N21" s="216"/>
      <c r="O21" s="216"/>
      <c r="P21" s="216"/>
      <c r="Q21" s="689"/>
      <c r="R21" s="689"/>
    </row>
    <row r="22" spans="1:18" ht="38.25">
      <c r="A22" s="216"/>
      <c r="B22" s="216"/>
      <c r="C22" s="216" t="s">
        <v>380</v>
      </c>
      <c r="D22" s="273" t="s">
        <v>381</v>
      </c>
      <c r="E22" s="216" t="s">
        <v>382</v>
      </c>
      <c r="F22" s="300" t="s">
        <v>383</v>
      </c>
      <c r="G22" s="265" t="s">
        <v>361</v>
      </c>
      <c r="H22" s="299" t="s">
        <v>384</v>
      </c>
      <c r="I22" s="300" t="s">
        <v>385</v>
      </c>
      <c r="J22" s="216"/>
      <c r="K22" s="216"/>
      <c r="L22" s="216"/>
      <c r="M22" s="216"/>
      <c r="N22" s="216"/>
      <c r="O22" s="216"/>
      <c r="P22" s="216"/>
      <c r="Q22" s="689"/>
      <c r="R22" s="689"/>
    </row>
    <row r="23" spans="1:18" ht="15">
      <c r="A23" s="216"/>
      <c r="B23" s="216" t="s">
        <v>386</v>
      </c>
      <c r="C23" s="216" t="s">
        <v>365</v>
      </c>
      <c r="D23" s="282" t="s">
        <v>99</v>
      </c>
      <c r="E23" s="301">
        <v>0</v>
      </c>
      <c r="F23" s="301">
        <v>0</v>
      </c>
      <c r="G23" s="219">
        <f>J14</f>
        <v>35.058862325251638</v>
      </c>
      <c r="H23" s="559">
        <f>(G23*365*(35-$M$141)*4.18)/3600</f>
        <v>330.04611659878401</v>
      </c>
      <c r="I23" s="533">
        <f>IF(D14="Instantaneous electric shower (vented or unvented)",0,IF(D23="Yes",H23*E23*F23,0))</f>
        <v>0</v>
      </c>
      <c r="J23" s="216"/>
      <c r="K23" s="216"/>
      <c r="L23" s="216"/>
      <c r="M23" s="216"/>
      <c r="N23" s="216"/>
      <c r="O23" s="216"/>
      <c r="P23" s="216"/>
      <c r="Q23" s="689"/>
      <c r="R23" s="689"/>
    </row>
    <row r="24" spans="1:18" ht="15">
      <c r="A24" s="216"/>
      <c r="B24" s="216" t="s">
        <v>387</v>
      </c>
      <c r="C24" s="216" t="s">
        <v>369</v>
      </c>
      <c r="D24" s="282" t="s">
        <v>99</v>
      </c>
      <c r="E24" s="301">
        <v>0</v>
      </c>
      <c r="F24" s="301">
        <v>0</v>
      </c>
      <c r="G24" s="219">
        <f>J15</f>
        <v>35.058862325251638</v>
      </c>
      <c r="H24" s="559">
        <f t="shared" ref="H24:H27" si="2">(G24*365*(35-$M$141)*4.18)/3600</f>
        <v>330.04611659878401</v>
      </c>
      <c r="I24" s="533">
        <f>IF(D15="Instantaneous electric shower (vented or unvented)",0,IF(D24="Yes",H24*E24*F24,0))</f>
        <v>0</v>
      </c>
      <c r="J24" s="216"/>
      <c r="K24" s="216"/>
      <c r="L24" s="216"/>
      <c r="M24" s="216"/>
      <c r="N24" s="216"/>
      <c r="O24" s="216"/>
      <c r="P24" s="216"/>
      <c r="Q24" s="689"/>
      <c r="R24" s="689"/>
    </row>
    <row r="25" spans="1:18" ht="15">
      <c r="A25" s="216"/>
      <c r="B25" s="216" t="s">
        <v>388</v>
      </c>
      <c r="C25" s="216" t="s">
        <v>371</v>
      </c>
      <c r="D25" s="282" t="s">
        <v>99</v>
      </c>
      <c r="E25" s="301" t="s">
        <v>2</v>
      </c>
      <c r="F25" s="301"/>
      <c r="G25" s="219">
        <f>J16</f>
        <v>0</v>
      </c>
      <c r="H25" s="559">
        <f t="shared" si="2"/>
        <v>0</v>
      </c>
      <c r="I25" s="533">
        <f>IF(D16="Instantaneous electric shower (vented or unvented)",0,IF(D25="Yes",H25*E25*F25,0))</f>
        <v>0</v>
      </c>
      <c r="J25" s="216"/>
      <c r="K25" s="216"/>
      <c r="L25" s="216"/>
      <c r="M25" s="216"/>
      <c r="N25" s="216"/>
      <c r="O25" s="216"/>
      <c r="P25" s="216"/>
      <c r="Q25" s="689"/>
      <c r="R25" s="689"/>
    </row>
    <row r="26" spans="1:18" ht="15">
      <c r="A26" s="216"/>
      <c r="B26" s="216" t="s">
        <v>389</v>
      </c>
      <c r="C26" s="216" t="s">
        <v>375</v>
      </c>
      <c r="D26" s="282" t="s">
        <v>99</v>
      </c>
      <c r="E26" s="301"/>
      <c r="F26" s="301"/>
      <c r="G26" s="219">
        <f>J17</f>
        <v>0</v>
      </c>
      <c r="H26" s="559">
        <f t="shared" si="2"/>
        <v>0</v>
      </c>
      <c r="I26" s="533">
        <f>IF(D17="Instantaneous electric shower (vented or unvented)",0,IF(D26="Yes",H26*E26*F26,0))</f>
        <v>0</v>
      </c>
      <c r="J26" s="216"/>
      <c r="K26" s="216"/>
      <c r="L26" s="216"/>
      <c r="M26" s="216"/>
      <c r="N26" s="216"/>
      <c r="O26" s="216"/>
      <c r="P26" s="216"/>
      <c r="Q26" s="689"/>
      <c r="R26" s="689"/>
    </row>
    <row r="27" spans="1:18" ht="15">
      <c r="A27" s="216"/>
      <c r="B27" s="216" t="s">
        <v>390</v>
      </c>
      <c r="C27" s="216" t="s">
        <v>377</v>
      </c>
      <c r="D27" s="282" t="s">
        <v>99</v>
      </c>
      <c r="E27" s="301"/>
      <c r="F27" s="301"/>
      <c r="G27" s="219">
        <f>J18</f>
        <v>0</v>
      </c>
      <c r="H27" s="559">
        <f t="shared" si="2"/>
        <v>0</v>
      </c>
      <c r="I27" s="533">
        <f>IF(D18="Instantaneous electric shower (vented or unvented)",0,IF(D27="Yes",H27*E27*F27,0))</f>
        <v>0</v>
      </c>
      <c r="J27" s="216"/>
      <c r="K27" s="216"/>
      <c r="L27" s="216"/>
      <c r="M27" s="216"/>
      <c r="N27" s="216"/>
      <c r="O27" s="216"/>
      <c r="P27" s="216"/>
      <c r="Q27" s="689"/>
      <c r="R27" s="689"/>
    </row>
    <row r="28" spans="1:18">
      <c r="A28" s="216"/>
      <c r="B28" s="216"/>
      <c r="C28" s="216"/>
      <c r="E28" s="216"/>
      <c r="F28" s="216"/>
      <c r="G28" s="219"/>
      <c r="H28" s="220"/>
      <c r="I28" s="533"/>
      <c r="J28" s="216"/>
      <c r="K28" s="216"/>
      <c r="L28" s="216"/>
      <c r="M28" s="216"/>
      <c r="N28" s="216"/>
      <c r="O28" s="216"/>
      <c r="P28" s="216"/>
      <c r="Q28" s="689"/>
      <c r="R28" s="689"/>
    </row>
    <row r="29" spans="1:18">
      <c r="A29" s="216"/>
      <c r="B29" s="216"/>
      <c r="C29" s="216"/>
      <c r="D29" s="216"/>
      <c r="E29" s="216"/>
      <c r="F29" s="219"/>
      <c r="G29" s="220"/>
      <c r="H29" s="218" t="s">
        <v>391</v>
      </c>
      <c r="I29" s="560">
        <f>SUM(I23:I27)</f>
        <v>0</v>
      </c>
      <c r="J29" s="216" t="s">
        <v>392</v>
      </c>
      <c r="K29" s="216"/>
      <c r="L29" s="216"/>
      <c r="M29" s="216"/>
      <c r="N29" s="216"/>
      <c r="O29" s="216"/>
      <c r="P29" s="216"/>
      <c r="Q29" s="689"/>
      <c r="R29" s="689"/>
    </row>
    <row r="30" spans="1:18">
      <c r="A30" s="216"/>
      <c r="B30" s="216"/>
      <c r="C30" s="216"/>
      <c r="D30" s="216"/>
      <c r="E30" s="216"/>
      <c r="F30" s="219"/>
      <c r="G30" s="220"/>
      <c r="H30" s="216"/>
      <c r="I30" s="216"/>
      <c r="J30" s="216"/>
      <c r="K30" s="216"/>
      <c r="L30" s="216"/>
      <c r="M30" s="216"/>
      <c r="N30" s="216"/>
      <c r="O30" s="216"/>
      <c r="P30" s="216"/>
      <c r="Q30" s="689"/>
      <c r="R30" s="689"/>
    </row>
    <row r="31" spans="1:18">
      <c r="A31" s="28" t="s">
        <v>393</v>
      </c>
      <c r="B31" s="216"/>
      <c r="C31" s="216"/>
      <c r="D31" s="216"/>
      <c r="E31" s="216"/>
      <c r="F31" s="219"/>
      <c r="G31" s="220"/>
      <c r="H31" s="216"/>
      <c r="I31" s="216"/>
      <c r="J31" s="216"/>
      <c r="K31" s="216"/>
      <c r="L31" s="216"/>
      <c r="M31" s="216"/>
      <c r="N31" s="216"/>
      <c r="O31" s="216"/>
      <c r="P31" s="216"/>
      <c r="Q31" s="689"/>
      <c r="R31" s="689"/>
    </row>
    <row r="32" spans="1:18">
      <c r="A32" s="216"/>
      <c r="B32" s="216"/>
      <c r="C32" s="216"/>
      <c r="D32" s="216"/>
      <c r="E32" s="216"/>
      <c r="F32" s="219"/>
      <c r="G32" s="220"/>
      <c r="H32" s="216"/>
      <c r="I32" s="216"/>
      <c r="J32" s="216"/>
      <c r="K32" s="216"/>
      <c r="L32" s="216"/>
      <c r="M32" s="216"/>
      <c r="N32" s="216"/>
      <c r="O32" s="216"/>
      <c r="P32" s="216"/>
      <c r="Q32" s="689"/>
      <c r="R32" s="689"/>
    </row>
    <row r="33" spans="1:18">
      <c r="A33" s="216"/>
      <c r="B33" s="216" t="s">
        <v>394</v>
      </c>
      <c r="D33" s="216"/>
      <c r="E33" s="216"/>
      <c r="F33" s="513">
        <f>IFERROR((F11/F5)*M19,0)</f>
        <v>0</v>
      </c>
      <c r="G33" s="220"/>
      <c r="H33" s="216"/>
      <c r="I33" s="216"/>
      <c r="J33" s="216"/>
      <c r="K33" s="216"/>
      <c r="L33" s="216"/>
      <c r="M33" s="216"/>
      <c r="N33" s="216"/>
      <c r="O33" s="216"/>
      <c r="P33" s="216"/>
      <c r="Q33" s="689"/>
      <c r="R33" s="689"/>
    </row>
    <row r="34" spans="1:18">
      <c r="A34" s="216"/>
      <c r="B34" s="216" t="s">
        <v>395</v>
      </c>
      <c r="C34" s="216"/>
      <c r="D34" s="216"/>
      <c r="E34" s="216"/>
      <c r="F34" s="561">
        <f>F33*1*9.3*0.1*365</f>
        <v>0</v>
      </c>
      <c r="G34" s="220" t="s">
        <v>396</v>
      </c>
      <c r="H34" s="216"/>
      <c r="I34" s="216"/>
      <c r="J34" s="216"/>
      <c r="K34" s="216"/>
      <c r="L34" s="216"/>
      <c r="M34" s="216"/>
      <c r="N34" s="216"/>
      <c r="O34" s="216"/>
      <c r="P34" s="216"/>
      <c r="Q34" s="689"/>
      <c r="R34" s="689"/>
    </row>
    <row r="35" spans="1:18">
      <c r="A35" s="216"/>
      <c r="B35" s="216"/>
      <c r="C35" s="216"/>
      <c r="D35" s="216"/>
      <c r="E35" s="216"/>
      <c r="F35" s="219"/>
      <c r="G35" s="220"/>
      <c r="H35" s="216"/>
      <c r="I35" s="216"/>
      <c r="J35" s="216"/>
      <c r="K35" s="216"/>
      <c r="L35" s="216"/>
      <c r="M35" s="216"/>
      <c r="N35" s="216"/>
      <c r="O35" s="216"/>
      <c r="P35" s="216"/>
      <c r="Q35" s="689"/>
      <c r="R35" s="689"/>
    </row>
    <row r="36" spans="1:18" ht="15">
      <c r="A36" s="174" t="s">
        <v>1423</v>
      </c>
      <c r="B36" s="216"/>
      <c r="C36" s="216"/>
      <c r="D36" s="216"/>
      <c r="E36" s="216"/>
      <c r="F36" s="282" t="s">
        <v>99</v>
      </c>
      <c r="G36" s="220"/>
      <c r="H36" s="216"/>
      <c r="I36" s="216"/>
      <c r="J36" s="216"/>
      <c r="K36" s="216"/>
      <c r="L36" s="216"/>
      <c r="M36" s="216"/>
      <c r="N36" s="216"/>
      <c r="O36" s="216"/>
      <c r="P36" s="216"/>
      <c r="Q36" s="689"/>
      <c r="R36" s="689"/>
    </row>
    <row r="37" spans="1:18">
      <c r="A37" s="216"/>
      <c r="B37" s="28"/>
      <c r="C37" s="216"/>
      <c r="D37" s="218"/>
      <c r="E37" s="562"/>
      <c r="F37" s="216"/>
      <c r="G37" s="218"/>
      <c r="H37" s="216"/>
      <c r="I37" s="216"/>
      <c r="J37" s="216"/>
      <c r="K37" s="216"/>
      <c r="L37" s="216"/>
      <c r="M37" s="216"/>
      <c r="N37" s="216"/>
      <c r="O37" s="216"/>
      <c r="P37" s="216"/>
      <c r="Q37" s="689"/>
      <c r="R37" s="689"/>
    </row>
    <row r="38" spans="1:18">
      <c r="A38" s="28" t="s">
        <v>1365</v>
      </c>
      <c r="B38" s="28"/>
      <c r="C38" s="216"/>
      <c r="D38" s="218"/>
      <c r="E38" s="562"/>
      <c r="F38" s="216"/>
      <c r="G38" s="218"/>
      <c r="H38" s="216"/>
      <c r="I38" s="216"/>
      <c r="J38" s="216"/>
      <c r="K38" s="216"/>
      <c r="L38" s="216"/>
      <c r="M38" s="216"/>
      <c r="N38" s="216"/>
      <c r="O38" s="216"/>
      <c r="P38" s="216"/>
      <c r="Q38" s="689"/>
      <c r="R38" s="689"/>
    </row>
    <row r="39" spans="1:18">
      <c r="A39" s="216"/>
      <c r="B39" s="174" t="s">
        <v>397</v>
      </c>
      <c r="F39" s="40">
        <f>IF(F5=0,0.35*N+0.5,IF(F7="No",0,0.13*N+0.19))</f>
        <v>0.56489532126947073</v>
      </c>
      <c r="G39" s="218"/>
      <c r="H39" s="216"/>
      <c r="I39" s="216"/>
      <c r="J39" s="216"/>
      <c r="K39" s="216"/>
      <c r="L39" s="216"/>
      <c r="M39" s="216"/>
      <c r="N39" s="216"/>
      <c r="O39" s="216"/>
      <c r="P39" s="216"/>
      <c r="Q39" s="709">
        <f>F39</f>
        <v>0.56489532126947073</v>
      </c>
      <c r="R39" s="689"/>
    </row>
    <row r="40" spans="1:18">
      <c r="A40" s="216"/>
      <c r="B40" s="216" t="s">
        <v>398</v>
      </c>
      <c r="C40" s="216"/>
      <c r="D40" s="218"/>
      <c r="E40" s="562"/>
      <c r="F40" s="513">
        <f>F39*73</f>
        <v>41.237358452671366</v>
      </c>
      <c r="G40" s="218"/>
      <c r="H40" s="216"/>
      <c r="I40" s="216"/>
      <c r="J40" s="216"/>
      <c r="K40" s="216"/>
      <c r="L40" s="216"/>
      <c r="M40" s="216"/>
      <c r="N40" s="216"/>
      <c r="O40" s="216"/>
      <c r="P40" s="216"/>
      <c r="Q40" s="709">
        <f>Q39*73</f>
        <v>41.237358452671366</v>
      </c>
      <c r="R40" s="689"/>
    </row>
    <row r="41" spans="1:18" ht="15.75" customHeight="1">
      <c r="A41" s="216"/>
      <c r="B41" s="847" t="s">
        <v>399</v>
      </c>
      <c r="C41" s="847"/>
      <c r="D41" s="218" t="s">
        <v>2</v>
      </c>
      <c r="E41" s="562"/>
      <c r="F41" s="513">
        <f>(42-M141)/(52-M141)</f>
        <v>0.74498351126264606</v>
      </c>
      <c r="G41" s="218"/>
      <c r="H41" s="216"/>
      <c r="I41" s="216"/>
      <c r="J41" s="216" t="s">
        <v>2</v>
      </c>
      <c r="K41" s="216"/>
      <c r="L41" s="216"/>
      <c r="M41" s="216"/>
      <c r="N41" s="216"/>
      <c r="O41" s="216"/>
      <c r="P41" s="216"/>
      <c r="Q41" s="709"/>
      <c r="R41" s="689"/>
    </row>
    <row r="42" spans="1:18">
      <c r="A42" s="216"/>
      <c r="B42" s="269" t="s">
        <v>400</v>
      </c>
      <c r="C42" s="216"/>
      <c r="D42" s="218"/>
      <c r="E42" s="562"/>
      <c r="F42" s="558">
        <f>F40*F41</f>
        <v>30.72115209526747</v>
      </c>
      <c r="G42" s="216" t="s">
        <v>374</v>
      </c>
      <c r="H42" s="216"/>
      <c r="I42" s="216"/>
      <c r="J42" s="216"/>
      <c r="K42" s="216"/>
      <c r="L42" s="216"/>
      <c r="M42" s="216"/>
      <c r="N42" s="216"/>
      <c r="O42" s="216"/>
      <c r="P42" s="216"/>
      <c r="Q42" s="709">
        <f>Q40*F41</f>
        <v>30.72115209526747</v>
      </c>
      <c r="R42" s="689"/>
    </row>
    <row r="43" spans="1:18">
      <c r="A43" s="216"/>
      <c r="B43" s="269"/>
      <c r="C43" s="216"/>
      <c r="D43" s="218"/>
      <c r="E43" s="562"/>
      <c r="G43" s="216"/>
      <c r="H43" s="216"/>
      <c r="I43" s="216"/>
      <c r="J43" s="216"/>
      <c r="K43" s="216"/>
      <c r="L43" s="216"/>
      <c r="M43" s="216"/>
      <c r="N43" s="216"/>
      <c r="O43" s="216"/>
      <c r="P43" s="216"/>
      <c r="Q43" s="709"/>
      <c r="R43" s="689"/>
    </row>
    <row r="44" spans="1:18">
      <c r="A44" s="216"/>
      <c r="B44" s="28"/>
      <c r="C44" s="216"/>
      <c r="D44" s="218"/>
      <c r="E44" s="562"/>
      <c r="F44" s="216"/>
      <c r="G44" s="218"/>
      <c r="H44" s="216"/>
      <c r="I44" s="216"/>
      <c r="J44" s="216"/>
      <c r="K44" s="216"/>
      <c r="L44" s="216"/>
      <c r="M44" s="216"/>
      <c r="N44" s="216"/>
      <c r="O44" s="216"/>
      <c r="P44" s="216"/>
      <c r="R44" s="689"/>
    </row>
    <row r="45" spans="1:18">
      <c r="A45" s="270" t="s">
        <v>401</v>
      </c>
      <c r="B45" s="28"/>
      <c r="C45" s="216"/>
      <c r="D45" s="218"/>
      <c r="E45" s="562"/>
      <c r="F45" s="563">
        <f>((9.8*N)+14)</f>
        <v>42.261339603390866</v>
      </c>
      <c r="G45" s="216" t="s">
        <v>374</v>
      </c>
      <c r="H45" s="216"/>
      <c r="I45" s="216" t="s">
        <v>2</v>
      </c>
      <c r="J45" s="216"/>
      <c r="K45" s="216"/>
      <c r="L45" s="216"/>
      <c r="M45" s="216"/>
      <c r="N45" s="216"/>
      <c r="O45" s="216"/>
      <c r="P45" s="216"/>
      <c r="Q45" s="694">
        <f>((9.8*N)+14)</f>
        <v>42.261339603390866</v>
      </c>
      <c r="R45" s="689"/>
    </row>
    <row r="46" spans="1:18">
      <c r="A46" s="216"/>
      <c r="B46" s="28"/>
      <c r="C46" s="216"/>
      <c r="D46" s="218"/>
      <c r="E46" s="562"/>
      <c r="F46" s="216"/>
      <c r="G46" s="218"/>
      <c r="H46" s="216"/>
      <c r="I46" s="216"/>
      <c r="J46" s="216"/>
      <c r="K46" s="216"/>
      <c r="L46" s="216"/>
      <c r="M46" s="216"/>
      <c r="N46" s="216"/>
      <c r="O46" s="216"/>
      <c r="P46" s="216"/>
      <c r="R46" s="689"/>
    </row>
    <row r="47" spans="1:18">
      <c r="A47" s="270" t="s">
        <v>402</v>
      </c>
      <c r="B47" s="28"/>
      <c r="C47" s="216"/>
      <c r="D47" s="218"/>
      <c r="E47" s="562"/>
      <c r="F47" s="558">
        <f>IF($F$36="Yes",(L20+F42+F45)*0.95,(L20+F42+F45))</f>
        <v>123.43092281667526</v>
      </c>
      <c r="G47" s="216" t="s">
        <v>374</v>
      </c>
      <c r="H47" s="216"/>
      <c r="I47" s="216"/>
      <c r="J47" s="216"/>
      <c r="K47" s="216"/>
      <c r="L47" s="216"/>
      <c r="M47" s="216"/>
      <c r="N47" s="216"/>
      <c r="O47" s="216"/>
      <c r="P47" s="216"/>
      <c r="Q47" s="709">
        <f>Q16+Q42+Q45</f>
        <v>173.87935393469218</v>
      </c>
      <c r="R47" s="689"/>
    </row>
    <row r="48" spans="1:18">
      <c r="A48" s="216" t="s">
        <v>2</v>
      </c>
      <c r="B48" s="28"/>
      <c r="C48" s="216"/>
      <c r="D48" s="218"/>
      <c r="E48" s="562"/>
      <c r="F48" s="28" t="s">
        <v>2</v>
      </c>
      <c r="G48" s="218"/>
      <c r="H48" s="216"/>
      <c r="I48" s="662"/>
      <c r="J48" s="216"/>
      <c r="K48" s="216"/>
      <c r="L48" s="216"/>
      <c r="M48" s="216"/>
      <c r="N48" s="216"/>
      <c r="O48" s="216"/>
      <c r="P48" s="216"/>
      <c r="Q48" s="689"/>
      <c r="R48" s="689"/>
    </row>
    <row r="49" spans="1:36">
      <c r="A49" s="270" t="s">
        <v>1366</v>
      </c>
      <c r="B49" s="28"/>
      <c r="C49" s="216"/>
      <c r="D49" s="218"/>
      <c r="E49" s="562"/>
      <c r="F49" s="558">
        <f>4.18*F47*365*M145/3600</f>
        <v>1935.4963002310701</v>
      </c>
      <c r="G49" s="220" t="s">
        <v>392</v>
      </c>
      <c r="H49" s="216"/>
      <c r="I49" s="663" t="s">
        <v>2</v>
      </c>
      <c r="J49" s="216"/>
      <c r="K49" s="216"/>
      <c r="L49" s="216"/>
      <c r="M49" s="216"/>
      <c r="N49" s="216"/>
      <c r="O49" s="216"/>
      <c r="P49" s="216"/>
      <c r="Q49" s="690">
        <f>4.18*Q47*365*M145/3600</f>
        <v>2726.568339175531</v>
      </c>
      <c r="R49" s="689"/>
    </row>
    <row r="50" spans="1:36">
      <c r="A50" s="270" t="s">
        <v>403</v>
      </c>
      <c r="B50" s="28"/>
      <c r="C50" s="216"/>
      <c r="D50" s="218"/>
      <c r="E50" s="562"/>
      <c r="F50" s="558">
        <f>F49*0.85</f>
        <v>1645.1718551964095</v>
      </c>
      <c r="G50" s="220" t="s">
        <v>392</v>
      </c>
      <c r="H50" s="216"/>
      <c r="I50" s="663" t="s">
        <v>2</v>
      </c>
      <c r="J50" s="216"/>
      <c r="K50" s="216"/>
      <c r="L50" s="216"/>
      <c r="M50" s="216"/>
      <c r="N50" s="216"/>
      <c r="O50" s="216"/>
      <c r="P50" s="216"/>
      <c r="Q50" s="690">
        <f>Q49*0.85</f>
        <v>2317.5830882992013</v>
      </c>
      <c r="R50" s="689"/>
    </row>
    <row r="51" spans="1:36">
      <c r="A51" s="216"/>
      <c r="B51" s="28"/>
      <c r="C51" s="216"/>
      <c r="D51" s="218"/>
      <c r="E51" s="562"/>
      <c r="F51" s="216"/>
      <c r="G51" s="218"/>
      <c r="H51" s="216"/>
      <c r="I51" s="216"/>
      <c r="J51" s="216"/>
      <c r="K51" s="216"/>
      <c r="L51" s="216"/>
      <c r="M51" s="216"/>
      <c r="N51" s="216"/>
      <c r="O51" s="216"/>
      <c r="P51" s="216"/>
      <c r="Q51" s="689"/>
      <c r="R51" s="689"/>
    </row>
    <row r="52" spans="1:36">
      <c r="A52" s="28" t="s">
        <v>404</v>
      </c>
      <c r="B52" s="28"/>
      <c r="C52" s="216"/>
      <c r="D52" s="218"/>
      <c r="E52" s="562"/>
      <c r="F52" s="216"/>
      <c r="G52" s="218"/>
      <c r="H52" s="216"/>
      <c r="I52" s="216"/>
      <c r="J52" s="216"/>
      <c r="K52" s="216"/>
      <c r="L52" s="216"/>
      <c r="M52" s="216"/>
      <c r="N52" s="216"/>
      <c r="O52" s="216"/>
      <c r="P52" s="216"/>
      <c r="Q52" s="689"/>
      <c r="R52" s="689"/>
      <c r="AJ52" s="174"/>
    </row>
    <row r="53" spans="1:36">
      <c r="A53" s="216" t="s">
        <v>405</v>
      </c>
      <c r="B53" s="216"/>
      <c r="C53" s="216"/>
      <c r="D53" s="216"/>
      <c r="E53" s="502" t="s">
        <v>98</v>
      </c>
      <c r="F53" s="217">
        <f>VLOOKUP(E53,$A$114:$B$116,2,FALSE)</f>
        <v>1</v>
      </c>
      <c r="G53" s="28" t="s">
        <v>2</v>
      </c>
      <c r="H53" s="216"/>
      <c r="I53" s="216" t="s">
        <v>406</v>
      </c>
      <c r="J53" s="216"/>
      <c r="K53" s="216"/>
      <c r="L53" s="216"/>
      <c r="M53" s="216"/>
      <c r="N53" s="216"/>
      <c r="O53" s="216"/>
      <c r="Q53" s="689"/>
      <c r="R53" s="689"/>
    </row>
    <row r="54" spans="1:36">
      <c r="A54" s="216" t="s">
        <v>407</v>
      </c>
      <c r="B54" s="216"/>
      <c r="C54" s="216"/>
      <c r="D54" s="216"/>
      <c r="E54" s="475"/>
      <c r="F54" s="73"/>
      <c r="G54" s="504">
        <f>IF(F53,F49*0.15,0)</f>
        <v>290.32444503466053</v>
      </c>
      <c r="H54" s="216"/>
      <c r="I54" s="216" t="s">
        <v>408</v>
      </c>
      <c r="J54" s="216"/>
      <c r="K54" s="216"/>
      <c r="L54" s="216"/>
      <c r="M54" s="216"/>
      <c r="N54" s="216"/>
      <c r="O54" s="216"/>
      <c r="P54" s="216"/>
      <c r="Q54" s="691">
        <f>Q49*0.15</f>
        <v>408.98525087632964</v>
      </c>
      <c r="R54" s="689"/>
    </row>
    <row r="55" spans="1:36">
      <c r="A55" s="216"/>
      <c r="B55" s="216"/>
      <c r="C55" s="216"/>
      <c r="D55" s="216"/>
      <c r="E55" s="475"/>
      <c r="F55" s="475"/>
      <c r="G55" s="216"/>
      <c r="H55" s="216"/>
      <c r="I55" s="216"/>
      <c r="J55" s="216"/>
      <c r="K55" s="216"/>
      <c r="L55" s="216"/>
      <c r="M55" s="216"/>
      <c r="N55" s="216"/>
      <c r="O55" s="216"/>
      <c r="P55" s="216"/>
      <c r="Q55" s="689"/>
      <c r="R55" s="689"/>
    </row>
    <row r="56" spans="1:36">
      <c r="A56" s="216" t="s">
        <v>409</v>
      </c>
      <c r="B56" s="216"/>
      <c r="C56" s="216"/>
      <c r="D56" s="216"/>
      <c r="E56" s="502" t="s">
        <v>98</v>
      </c>
      <c r="F56" s="217">
        <f>VLOOKUP(E56,$A$114:$B$116,2,FALSE)</f>
        <v>1</v>
      </c>
      <c r="G56" s="216"/>
      <c r="H56" s="216"/>
      <c r="I56" s="216"/>
      <c r="J56" s="216"/>
      <c r="K56" s="216"/>
      <c r="L56" s="216"/>
      <c r="M56" s="216"/>
      <c r="N56" s="216"/>
      <c r="O56" s="216"/>
      <c r="P56" s="216"/>
      <c r="Q56" s="689"/>
      <c r="R56" s="689"/>
    </row>
    <row r="57" spans="1:36">
      <c r="A57" s="59" t="s">
        <v>214</v>
      </c>
      <c r="B57" s="216"/>
      <c r="C57" s="216"/>
      <c r="D57" s="216"/>
      <c r="E57" s="475"/>
      <c r="F57" s="217"/>
      <c r="G57" s="503"/>
      <c r="H57" s="216"/>
      <c r="I57" s="216"/>
      <c r="J57" s="216"/>
      <c r="K57" s="216"/>
      <c r="L57" s="216"/>
      <c r="M57" s="216"/>
      <c r="N57" s="216"/>
      <c r="O57" s="216"/>
      <c r="P57" s="216"/>
      <c r="Q57" s="689"/>
      <c r="R57" s="689"/>
    </row>
    <row r="58" spans="1:36">
      <c r="A58" s="216"/>
      <c r="B58" s="216" t="s">
        <v>410</v>
      </c>
      <c r="C58" s="216"/>
      <c r="D58" s="216"/>
      <c r="E58" s="475"/>
      <c r="F58" s="475"/>
      <c r="G58" s="502">
        <v>120</v>
      </c>
      <c r="H58" s="216"/>
      <c r="I58" s="216" t="s">
        <v>411</v>
      </c>
      <c r="J58" s="216"/>
      <c r="K58" s="216"/>
      <c r="L58" s="216"/>
      <c r="M58" s="216"/>
      <c r="N58" s="216"/>
      <c r="O58" s="216"/>
      <c r="P58" s="216"/>
      <c r="Q58" s="689">
        <v>120</v>
      </c>
      <c r="R58" s="689"/>
    </row>
    <row r="59" spans="1:36">
      <c r="A59" s="216"/>
      <c r="B59" s="216"/>
      <c r="E59" s="216" t="s">
        <v>412</v>
      </c>
      <c r="F59" s="216"/>
      <c r="G59" s="216"/>
      <c r="H59" s="216"/>
      <c r="J59" s="216"/>
      <c r="K59" s="216"/>
      <c r="L59" s="216"/>
      <c r="M59" s="216"/>
      <c r="N59" s="216"/>
      <c r="O59" s="216"/>
      <c r="P59" s="216"/>
      <c r="Q59" s="689"/>
      <c r="R59" s="689"/>
    </row>
    <row r="60" spans="1:36">
      <c r="A60" s="216"/>
      <c r="B60" s="216" t="s">
        <v>413</v>
      </c>
      <c r="C60" s="216"/>
      <c r="D60" s="216"/>
      <c r="E60" s="216"/>
      <c r="F60" s="30"/>
      <c r="G60" s="502" t="s">
        <v>99</v>
      </c>
      <c r="H60" s="217">
        <f>VLOOKUP(G60,$A$114:$B$116,2,FALSE)</f>
        <v>0</v>
      </c>
      <c r="I60" s="216"/>
      <c r="J60" s="216"/>
      <c r="K60" s="216"/>
      <c r="L60" s="216"/>
      <c r="M60" s="216"/>
      <c r="N60" s="216"/>
      <c r="O60" s="216"/>
      <c r="P60" s="216"/>
      <c r="Q60" s="689"/>
      <c r="R60" s="689"/>
    </row>
    <row r="61" spans="1:36">
      <c r="A61" s="216"/>
      <c r="B61" s="216" t="s">
        <v>164</v>
      </c>
      <c r="C61" s="216"/>
      <c r="D61" s="216"/>
      <c r="E61" s="216"/>
      <c r="F61" s="216"/>
      <c r="G61" s="217"/>
      <c r="H61" s="475"/>
      <c r="I61" s="216"/>
      <c r="J61" s="216"/>
      <c r="K61" s="216"/>
      <c r="L61" s="216"/>
      <c r="M61" s="216"/>
      <c r="N61" s="216"/>
      <c r="O61" s="216"/>
      <c r="P61" s="216"/>
      <c r="Q61" s="689"/>
      <c r="R61" s="689"/>
    </row>
    <row r="62" spans="1:36">
      <c r="A62" s="216"/>
      <c r="B62" s="216"/>
      <c r="C62" s="216" t="s">
        <v>414</v>
      </c>
      <c r="D62" s="216"/>
      <c r="E62" s="216"/>
      <c r="F62" s="216"/>
      <c r="G62" s="217"/>
      <c r="H62" s="502"/>
      <c r="I62" s="216"/>
      <c r="J62" s="216"/>
      <c r="K62" s="216"/>
      <c r="L62" s="216"/>
      <c r="M62" s="216"/>
      <c r="N62" s="216"/>
      <c r="O62" s="216"/>
      <c r="P62" s="216"/>
      <c r="Q62" s="689"/>
      <c r="R62" s="689"/>
      <c r="T62" s="480" t="s">
        <v>2</v>
      </c>
    </row>
    <row r="63" spans="1:36">
      <c r="A63" s="216"/>
      <c r="B63" s="216"/>
      <c r="C63" s="216" t="s">
        <v>415</v>
      </c>
      <c r="D63" s="216"/>
      <c r="E63" s="216"/>
      <c r="F63" s="216"/>
      <c r="G63" s="475"/>
      <c r="H63" s="502">
        <v>1.2</v>
      </c>
      <c r="I63" s="216"/>
      <c r="J63" s="216"/>
      <c r="K63" s="216"/>
      <c r="L63" s="216"/>
      <c r="M63" s="216"/>
      <c r="N63" s="216"/>
      <c r="O63" s="216"/>
      <c r="P63" s="216"/>
      <c r="Q63" s="689"/>
      <c r="R63" s="689"/>
    </row>
    <row r="64" spans="1:36">
      <c r="A64" s="216"/>
      <c r="B64" s="216"/>
      <c r="C64" s="216" t="s">
        <v>416</v>
      </c>
      <c r="D64" s="216"/>
      <c r="E64" s="216"/>
      <c r="F64" s="216"/>
      <c r="G64" s="475"/>
      <c r="H64" s="219">
        <f>H63*365</f>
        <v>438</v>
      </c>
      <c r="I64" s="216"/>
      <c r="J64" s="216"/>
      <c r="K64" s="216"/>
      <c r="L64" s="216"/>
      <c r="M64" s="216"/>
      <c r="N64" s="216"/>
      <c r="O64" s="216"/>
      <c r="P64" s="216"/>
      <c r="Q64" s="689"/>
      <c r="R64" s="689"/>
    </row>
    <row r="65" spans="1:20">
      <c r="A65" s="216"/>
      <c r="B65" s="216" t="s">
        <v>417</v>
      </c>
      <c r="C65" s="216"/>
      <c r="D65" s="216"/>
      <c r="E65" s="216"/>
      <c r="F65" s="216"/>
      <c r="G65" s="507"/>
      <c r="H65" s="216"/>
      <c r="I65" s="216"/>
      <c r="J65" s="216"/>
      <c r="K65" s="216"/>
      <c r="L65" s="216"/>
      <c r="M65" s="216"/>
      <c r="N65" s="216"/>
      <c r="O65" s="216"/>
      <c r="P65" s="216"/>
      <c r="Q65" s="689"/>
      <c r="R65" s="689"/>
    </row>
    <row r="66" spans="1:20">
      <c r="A66" s="216"/>
      <c r="B66" s="216"/>
      <c r="C66" s="216" t="s">
        <v>418</v>
      </c>
      <c r="D66" s="216"/>
      <c r="E66" s="216"/>
      <c r="F66" s="216"/>
      <c r="G66" s="833" t="s">
        <v>419</v>
      </c>
      <c r="H66" s="834"/>
      <c r="I66" s="74" t="s">
        <v>153</v>
      </c>
      <c r="J66" s="217">
        <f>VLOOKUP(G66,A119:C122,3,FALSE)</f>
        <v>1</v>
      </c>
      <c r="K66" s="524"/>
      <c r="L66" s="216"/>
      <c r="M66" s="216"/>
      <c r="N66" s="216"/>
      <c r="O66" s="216"/>
      <c r="P66" s="216"/>
      <c r="Q66" s="689"/>
      <c r="R66" s="689"/>
    </row>
    <row r="67" spans="1:20">
      <c r="A67" s="216"/>
      <c r="B67" s="216"/>
      <c r="C67" s="216" t="s">
        <v>420</v>
      </c>
      <c r="D67" s="216"/>
      <c r="E67" s="216"/>
      <c r="F67" s="216"/>
      <c r="G67" s="216"/>
      <c r="H67" s="502">
        <v>100</v>
      </c>
      <c r="I67" s="216"/>
      <c r="J67" s="216"/>
      <c r="K67" s="216"/>
      <c r="M67" s="216"/>
      <c r="N67" s="216"/>
      <c r="O67" s="216"/>
      <c r="P67" s="216"/>
      <c r="Q67" s="689">
        <v>35</v>
      </c>
      <c r="R67" s="689"/>
    </row>
    <row r="68" spans="1:20">
      <c r="A68" s="216"/>
      <c r="B68" s="216"/>
      <c r="C68" s="216" t="s">
        <v>421</v>
      </c>
      <c r="D68" s="216"/>
      <c r="E68" s="216"/>
      <c r="F68" s="216"/>
      <c r="G68" s="216"/>
      <c r="H68" s="564">
        <f>CHOOSE(J66,0.005+0.55/(A124+4),0.005+1.76/(A124+12.8))</f>
        <v>1.0288461538461538E-2</v>
      </c>
      <c r="I68" s="216"/>
      <c r="J68" s="216"/>
      <c r="K68" s="216"/>
      <c r="L68" s="216"/>
      <c r="M68" s="216"/>
      <c r="N68" s="216"/>
      <c r="O68" s="216"/>
      <c r="P68" s="216"/>
      <c r="Q68" s="710">
        <f>0.005+0.55/(Q67+4)</f>
        <v>1.9102564102564105E-2</v>
      </c>
      <c r="R68" s="689"/>
    </row>
    <row r="69" spans="1:20">
      <c r="A69" s="216"/>
      <c r="B69" s="216"/>
      <c r="C69" s="216" t="s">
        <v>422</v>
      </c>
      <c r="D69" s="216"/>
      <c r="E69" s="216"/>
      <c r="F69" s="216"/>
      <c r="G69" s="216"/>
      <c r="H69" s="565">
        <f>IF(cylVol=0,0,(120/cylVol)^(1/3))</f>
        <v>1</v>
      </c>
      <c r="I69" s="216"/>
      <c r="J69" s="216"/>
      <c r="K69" s="216"/>
      <c r="L69" s="216"/>
      <c r="M69" s="216"/>
      <c r="N69" s="216"/>
      <c r="O69" s="216"/>
      <c r="P69" s="216"/>
      <c r="Q69" s="695">
        <f>(120/Q58)^(1/3)</f>
        <v>1</v>
      </c>
      <c r="R69" s="689"/>
    </row>
    <row r="70" spans="1:20">
      <c r="A70" s="216"/>
      <c r="B70" s="216"/>
      <c r="C70" s="216" t="s">
        <v>423</v>
      </c>
      <c r="D70" s="216"/>
      <c r="E70" s="216"/>
      <c r="F70" s="216"/>
      <c r="G70" s="216"/>
      <c r="H70" s="219">
        <f>cylVol*H68*H69*365</f>
        <v>450.63461538461542</v>
      </c>
      <c r="I70" s="216"/>
      <c r="J70" s="216"/>
      <c r="K70" s="216"/>
      <c r="L70" s="216"/>
      <c r="M70" s="216"/>
      <c r="N70" s="216"/>
      <c r="O70" s="216"/>
      <c r="P70" s="216"/>
      <c r="Q70" s="691">
        <f>Q58*Q68*Q69*365</f>
        <v>836.69230769230785</v>
      </c>
      <c r="R70" s="689"/>
    </row>
    <row r="71" spans="1:20">
      <c r="A71" s="216"/>
      <c r="B71" s="216" t="s">
        <v>172</v>
      </c>
      <c r="C71" s="216"/>
      <c r="D71" s="216"/>
      <c r="E71" s="216"/>
      <c r="F71" s="216"/>
      <c r="G71" s="507"/>
      <c r="H71" s="216"/>
      <c r="I71" s="216"/>
      <c r="J71" s="216"/>
      <c r="K71" s="216"/>
      <c r="L71" s="216"/>
      <c r="M71" s="216"/>
      <c r="N71" s="216"/>
      <c r="O71" s="216"/>
      <c r="P71" s="216"/>
      <c r="Q71" s="689"/>
      <c r="R71" s="689"/>
    </row>
    <row r="72" spans="1:20">
      <c r="A72" s="216"/>
      <c r="B72" s="216" t="s">
        <v>424</v>
      </c>
      <c r="C72" s="216"/>
      <c r="D72" s="216"/>
      <c r="E72" s="216"/>
      <c r="F72" s="475"/>
      <c r="G72" s="219">
        <f>IF(H60,H64,H70)</f>
        <v>450.63461538461542</v>
      </c>
      <c r="H72" s="475"/>
      <c r="I72" s="216"/>
      <c r="J72" s="216"/>
      <c r="K72" s="216"/>
      <c r="L72" s="216"/>
      <c r="M72" s="216"/>
      <c r="N72" s="216"/>
      <c r="O72" s="216"/>
      <c r="P72" s="216"/>
      <c r="Q72" s="689"/>
      <c r="R72" s="689"/>
    </row>
    <row r="73" spans="1:20">
      <c r="A73" s="216"/>
      <c r="B73" s="216" t="s">
        <v>425</v>
      </c>
      <c r="C73" s="216"/>
      <c r="D73" s="216"/>
      <c r="E73" s="216"/>
      <c r="F73" s="475"/>
      <c r="G73" s="502">
        <v>0.6</v>
      </c>
      <c r="H73" s="475"/>
      <c r="I73" s="216"/>
      <c r="J73" s="216"/>
      <c r="K73" s="216"/>
      <c r="L73" s="216"/>
      <c r="M73" s="216"/>
      <c r="N73" s="216"/>
      <c r="O73" s="216"/>
      <c r="P73" s="216"/>
      <c r="Q73" s="689">
        <v>0.6</v>
      </c>
      <c r="R73" s="689"/>
    </row>
    <row r="74" spans="1:20">
      <c r="A74" s="216"/>
      <c r="B74" s="216" t="s">
        <v>426</v>
      </c>
      <c r="C74" s="216"/>
      <c r="D74" s="216"/>
      <c r="E74" s="216"/>
      <c r="F74" s="475"/>
      <c r="G74" s="502">
        <v>0.9</v>
      </c>
      <c r="H74" s="475">
        <f>G73*G74</f>
        <v>0.54</v>
      </c>
      <c r="I74" s="216"/>
      <c r="J74" s="216"/>
      <c r="K74" s="216"/>
      <c r="L74" s="216"/>
      <c r="M74" s="216"/>
      <c r="N74" s="216"/>
      <c r="O74" s="216"/>
      <c r="P74" s="216"/>
      <c r="Q74" s="689">
        <v>0.9</v>
      </c>
      <c r="R74" s="689"/>
    </row>
    <row r="75" spans="1:20">
      <c r="A75" s="59" t="s">
        <v>172</v>
      </c>
      <c r="B75" s="216"/>
      <c r="C75" s="216"/>
      <c r="D75" s="216"/>
      <c r="E75" s="216"/>
      <c r="F75" s="475"/>
      <c r="G75" s="503"/>
      <c r="H75" s="475"/>
      <c r="I75" s="216"/>
      <c r="J75" s="216"/>
      <c r="K75" s="216"/>
      <c r="L75" s="216"/>
      <c r="M75" s="216"/>
      <c r="N75" s="216"/>
      <c r="O75" s="216"/>
      <c r="P75" s="216"/>
      <c r="R75" s="689"/>
    </row>
    <row r="76" spans="1:20">
      <c r="A76" s="216" t="s">
        <v>427</v>
      </c>
      <c r="B76" s="216"/>
      <c r="C76" s="216"/>
      <c r="D76" s="216"/>
      <c r="E76" s="216"/>
      <c r="F76" s="503">
        <f>IF(F56,G72*H74,0)</f>
        <v>243.34269230769235</v>
      </c>
      <c r="G76" s="475"/>
      <c r="H76" s="503"/>
      <c r="I76" s="216"/>
      <c r="J76" s="216"/>
      <c r="K76" s="216"/>
      <c r="L76" s="216"/>
      <c r="M76" s="216"/>
      <c r="N76" s="216"/>
      <c r="O76" s="216"/>
      <c r="P76" s="216"/>
      <c r="Q76" s="691">
        <f>Q70*Q73*Q74</f>
        <v>451.81384615384621</v>
      </c>
      <c r="R76" s="689"/>
    </row>
    <row r="77" spans="1:20">
      <c r="A77" s="216"/>
      <c r="B77" s="216"/>
      <c r="C77" s="216"/>
      <c r="D77" s="216"/>
      <c r="E77" s="216"/>
      <c r="F77" s="475"/>
      <c r="G77" s="503"/>
      <c r="H77" s="503"/>
      <c r="I77" s="216"/>
      <c r="J77" s="216"/>
      <c r="K77" s="216"/>
      <c r="L77" s="216"/>
      <c r="M77" s="216"/>
      <c r="N77" s="216"/>
      <c r="O77" s="216"/>
      <c r="P77" s="216"/>
      <c r="Q77" s="691"/>
      <c r="R77" s="689"/>
    </row>
    <row r="78" spans="1:20">
      <c r="A78" s="216" t="s">
        <v>428</v>
      </c>
      <c r="B78" s="216"/>
      <c r="C78" s="216"/>
      <c r="D78" s="216"/>
      <c r="E78" s="216"/>
      <c r="F78" s="502" t="s">
        <v>99</v>
      </c>
      <c r="G78" s="217">
        <f>VLOOKUP(F78,$A$114:$B$116,2,FALSE)</f>
        <v>0</v>
      </c>
      <c r="H78" s="503"/>
      <c r="I78" s="216"/>
      <c r="J78" s="216"/>
      <c r="K78" s="216"/>
      <c r="L78" s="216"/>
      <c r="M78" s="216"/>
      <c r="N78" s="216"/>
      <c r="O78" s="216"/>
      <c r="P78" s="216"/>
      <c r="Q78" s="689"/>
      <c r="R78" s="689"/>
      <c r="T78" s="480" t="s">
        <v>2</v>
      </c>
    </row>
    <row r="79" spans="1:20">
      <c r="A79" s="59" t="s">
        <v>214</v>
      </c>
      <c r="B79" s="216"/>
      <c r="C79" s="216"/>
      <c r="D79" s="216"/>
      <c r="E79" s="216"/>
      <c r="F79" s="475"/>
      <c r="G79" s="503"/>
      <c r="H79" s="503"/>
      <c r="I79" s="216"/>
      <c r="J79" s="216"/>
      <c r="K79" s="216"/>
      <c r="L79" s="216"/>
      <c r="M79" s="216"/>
      <c r="N79" s="216"/>
      <c r="O79" s="216"/>
      <c r="P79" s="216"/>
      <c r="Q79" s="689"/>
      <c r="R79" s="689"/>
    </row>
    <row r="80" spans="1:20">
      <c r="A80" s="216"/>
      <c r="B80" s="216" t="s">
        <v>429</v>
      </c>
      <c r="C80" s="216"/>
      <c r="D80" s="216"/>
      <c r="E80" s="216"/>
      <c r="F80" s="475"/>
      <c r="G80" s="503"/>
      <c r="H80" s="503"/>
      <c r="I80" s="216"/>
      <c r="J80" s="216"/>
      <c r="K80" s="216"/>
      <c r="L80" s="216"/>
      <c r="M80" s="216"/>
      <c r="N80" s="216"/>
      <c r="O80" s="216"/>
      <c r="P80" s="216"/>
      <c r="Q80" s="689"/>
      <c r="R80" s="689"/>
    </row>
    <row r="81" spans="1:18">
      <c r="A81" s="30"/>
      <c r="B81" s="216" t="s">
        <v>430</v>
      </c>
      <c r="C81" s="216"/>
      <c r="D81" s="216"/>
      <c r="E81" s="216"/>
      <c r="F81" s="475"/>
      <c r="G81" s="219">
        <f>IF(G78,SWH!J25,0)</f>
        <v>0</v>
      </c>
      <c r="H81" s="475"/>
      <c r="I81" s="216"/>
      <c r="J81" s="216"/>
      <c r="K81" s="216"/>
      <c r="L81" s="216"/>
      <c r="M81" s="216"/>
      <c r="N81" s="216"/>
      <c r="O81" s="216"/>
      <c r="P81" s="216"/>
      <c r="Q81" s="689"/>
      <c r="R81" s="689"/>
    </row>
    <row r="82" spans="1:18">
      <c r="A82" s="30"/>
      <c r="B82" s="216" t="s">
        <v>431</v>
      </c>
      <c r="C82" s="216"/>
      <c r="D82" s="216"/>
      <c r="E82" s="216"/>
      <c r="F82" s="475"/>
      <c r="G82" s="217">
        <f>IF(AND(G78,SWH!J19),SWH!J17,0)</f>
        <v>0</v>
      </c>
      <c r="H82" s="475"/>
      <c r="I82" s="216"/>
      <c r="J82" s="216"/>
      <c r="K82" s="216"/>
      <c r="L82" s="216"/>
      <c r="M82" s="216"/>
      <c r="N82" s="216"/>
      <c r="O82" s="216"/>
      <c r="P82" s="216"/>
      <c r="Q82" s="689"/>
      <c r="R82" s="689"/>
    </row>
    <row r="83" spans="1:18">
      <c r="A83" s="30"/>
      <c r="B83" s="216" t="s">
        <v>432</v>
      </c>
      <c r="C83" s="216"/>
      <c r="D83" s="216"/>
      <c r="E83" s="216"/>
      <c r="F83" s="502" t="s">
        <v>99</v>
      </c>
      <c r="G83" s="217">
        <f>VLOOKUP(F83,$A$114:$B$116,2,FALSE)</f>
        <v>0</v>
      </c>
      <c r="H83" s="475"/>
      <c r="I83" s="216"/>
      <c r="J83" s="216"/>
      <c r="K83" s="216"/>
      <c r="L83" s="216"/>
      <c r="M83" s="216"/>
      <c r="N83" s="216"/>
      <c r="O83" s="216"/>
      <c r="P83" s="216"/>
      <c r="Q83" s="689"/>
      <c r="R83" s="689"/>
    </row>
    <row r="84" spans="1:18">
      <c r="A84" s="30"/>
      <c r="B84" s="216" t="s">
        <v>433</v>
      </c>
      <c r="C84" s="216"/>
      <c r="D84" s="216"/>
      <c r="E84" s="216"/>
      <c r="F84" s="475"/>
      <c r="G84" s="566">
        <f>IF(AND(G78,G83=0),75,0)</f>
        <v>0</v>
      </c>
      <c r="H84" s="475"/>
      <c r="I84" s="216"/>
      <c r="J84" s="216"/>
      <c r="K84" s="216"/>
      <c r="L84" s="216"/>
      <c r="M84" s="216"/>
      <c r="N84" s="216"/>
      <c r="O84" s="216"/>
      <c r="P84" s="216"/>
      <c r="Q84" s="689"/>
      <c r="R84" s="689"/>
    </row>
    <row r="85" spans="1:18">
      <c r="A85" s="59" t="s">
        <v>172</v>
      </c>
      <c r="B85" s="216"/>
      <c r="C85" s="216"/>
      <c r="D85" s="216"/>
      <c r="E85" s="216"/>
      <c r="F85" s="216"/>
      <c r="G85" s="507"/>
      <c r="H85" s="216"/>
      <c r="I85" s="216"/>
      <c r="J85" s="216"/>
      <c r="K85" s="216"/>
      <c r="L85" s="216"/>
      <c r="M85" s="216"/>
      <c r="N85" s="216"/>
      <c r="O85" s="216"/>
      <c r="P85" s="216"/>
      <c r="Q85" s="689"/>
      <c r="R85" s="689"/>
    </row>
    <row r="86" spans="1:18">
      <c r="A86" s="216" t="s">
        <v>434</v>
      </c>
      <c r="B86" s="216"/>
      <c r="C86" s="216"/>
      <c r="D86" s="216"/>
      <c r="E86" s="216"/>
      <c r="F86" s="216"/>
      <c r="G86" s="219">
        <f>IF(cylVol=0,0,F76*(cylVol-G82)/cylVol)</f>
        <v>243.34269230769235</v>
      </c>
      <c r="H86" s="524"/>
      <c r="I86" s="216"/>
      <c r="J86" s="216"/>
      <c r="K86" s="216"/>
      <c r="L86" s="216"/>
      <c r="M86" s="216"/>
      <c r="N86" s="216"/>
      <c r="O86" s="216"/>
      <c r="P86" s="216"/>
      <c r="Q86" s="689"/>
      <c r="R86" s="689"/>
    </row>
    <row r="87" spans="1:18">
      <c r="A87" s="216"/>
      <c r="B87" s="216"/>
      <c r="C87" s="216"/>
      <c r="D87" s="216"/>
      <c r="E87" s="216"/>
      <c r="F87" s="216"/>
      <c r="G87" s="219"/>
      <c r="H87" s="524"/>
      <c r="I87" s="216"/>
      <c r="J87" s="216"/>
      <c r="K87" s="216"/>
      <c r="L87" s="216"/>
      <c r="M87" s="216"/>
      <c r="N87" s="216"/>
      <c r="O87" s="216"/>
      <c r="P87" s="216"/>
      <c r="Q87" s="689"/>
      <c r="R87" s="689"/>
    </row>
    <row r="88" spans="1:18">
      <c r="A88" s="216" t="s">
        <v>435</v>
      </c>
      <c r="B88" s="216"/>
      <c r="C88" s="216"/>
      <c r="D88" s="216"/>
      <c r="E88" s="216"/>
      <c r="F88" s="216"/>
      <c r="G88" s="75">
        <v>360</v>
      </c>
      <c r="H88" s="524"/>
      <c r="I88" s="216"/>
      <c r="J88" s="216"/>
      <c r="K88" s="216"/>
      <c r="L88" s="216"/>
      <c r="M88" s="216"/>
      <c r="N88" s="216"/>
      <c r="O88" s="216"/>
      <c r="P88" s="216"/>
      <c r="Q88" s="689">
        <v>610</v>
      </c>
      <c r="R88" s="689"/>
    </row>
    <row r="89" spans="1:18">
      <c r="A89" s="216" t="s">
        <v>436</v>
      </c>
      <c r="B89" s="216"/>
      <c r="C89" s="216"/>
      <c r="D89" s="216"/>
      <c r="E89" s="216"/>
      <c r="F89" s="216"/>
      <c r="G89" s="504">
        <f>(G88/2)*(1+N/4)</f>
        <v>309.77145736250912</v>
      </c>
      <c r="H89" s="524"/>
      <c r="I89" s="216"/>
      <c r="J89" s="216"/>
      <c r="K89" s="216"/>
      <c r="L89" s="216"/>
      <c r="M89" s="216"/>
      <c r="N89" s="216"/>
      <c r="O89" s="216"/>
      <c r="P89" s="216"/>
      <c r="Q89" s="691">
        <f>(Q88/2)*(1+N/4)</f>
        <v>524.89052497536261</v>
      </c>
      <c r="R89" s="689"/>
    </row>
    <row r="90" spans="1:18">
      <c r="A90" s="216"/>
      <c r="B90" s="216"/>
      <c r="C90" s="216"/>
      <c r="D90" s="216"/>
      <c r="E90" s="216"/>
      <c r="F90" s="216"/>
      <c r="G90" s="219"/>
      <c r="H90" s="524"/>
      <c r="I90" s="216"/>
      <c r="J90" s="216"/>
      <c r="K90" s="216"/>
      <c r="L90" s="216"/>
      <c r="M90" s="216"/>
      <c r="N90" s="216"/>
      <c r="O90" s="216"/>
      <c r="P90" s="216"/>
      <c r="Q90" s="691"/>
      <c r="R90" s="689"/>
    </row>
    <row r="91" spans="1:18">
      <c r="A91" s="216" t="s">
        <v>437</v>
      </c>
      <c r="B91" s="216"/>
      <c r="C91" s="216"/>
      <c r="D91" s="216"/>
      <c r="E91" s="216"/>
      <c r="F91" s="216"/>
      <c r="G91" s="216"/>
      <c r="H91" s="216"/>
      <c r="I91" s="502"/>
      <c r="J91" s="524" t="s">
        <v>438</v>
      </c>
      <c r="K91" s="216"/>
      <c r="L91" s="216"/>
      <c r="M91" s="216"/>
      <c r="N91" s="216"/>
      <c r="O91" s="216"/>
      <c r="P91" s="216"/>
      <c r="Q91" s="689"/>
      <c r="R91" s="689"/>
    </row>
    <row r="92" spans="1:18">
      <c r="A92" s="216" t="s">
        <v>439</v>
      </c>
      <c r="B92" s="216"/>
      <c r="C92" s="216"/>
      <c r="D92" s="216"/>
      <c r="E92" s="216"/>
      <c r="F92" s="216"/>
      <c r="G92" s="216"/>
      <c r="H92" s="216"/>
      <c r="I92" s="502"/>
      <c r="J92" s="216" t="s">
        <v>440</v>
      </c>
      <c r="K92" s="216"/>
      <c r="L92" s="216"/>
      <c r="M92" s="216"/>
      <c r="N92" s="216"/>
      <c r="O92" s="216"/>
      <c r="P92" s="216"/>
      <c r="Q92" s="689"/>
      <c r="R92" s="689"/>
    </row>
    <row r="93" spans="1:18">
      <c r="A93" s="216" t="s">
        <v>441</v>
      </c>
      <c r="B93" s="216"/>
      <c r="C93" s="216"/>
      <c r="D93" s="216"/>
      <c r="E93" s="216"/>
      <c r="F93" s="216"/>
      <c r="G93" s="216"/>
      <c r="H93" s="505" t="s">
        <v>98</v>
      </c>
      <c r="I93" s="217">
        <f>VLOOKUP(H93,$A$114:$B$116,2,FALSE)</f>
        <v>1</v>
      </c>
      <c r="J93" s="216"/>
      <c r="K93" s="216"/>
      <c r="L93" s="216"/>
      <c r="M93" s="216"/>
      <c r="N93" s="216"/>
      <c r="O93" s="216"/>
      <c r="P93" s="216"/>
      <c r="Q93" s="689"/>
      <c r="R93" s="689"/>
    </row>
    <row r="94" spans="1:18">
      <c r="A94" s="216" t="s">
        <v>442</v>
      </c>
      <c r="B94" s="216"/>
      <c r="C94" s="216"/>
      <c r="D94" s="216"/>
      <c r="E94" s="216"/>
      <c r="F94" s="28" t="s">
        <v>2</v>
      </c>
      <c r="G94" s="216"/>
      <c r="H94" s="505" t="s">
        <v>99</v>
      </c>
      <c r="I94" s="217">
        <f>VLOOKUP(H94,$A$114:$B$116,2,FALSE)</f>
        <v>0</v>
      </c>
      <c r="J94" s="218" t="s">
        <v>443</v>
      </c>
      <c r="K94" s="217">
        <f>IF(I94,0.33,0)</f>
        <v>0</v>
      </c>
      <c r="L94" s="216"/>
      <c r="M94" s="216"/>
      <c r="N94" s="216"/>
      <c r="O94" s="216"/>
      <c r="P94" s="216"/>
      <c r="Q94" s="689"/>
      <c r="R94" s="689"/>
    </row>
    <row r="95" spans="1:18">
      <c r="A95" s="216"/>
      <c r="B95" s="216"/>
      <c r="C95" s="216"/>
      <c r="D95" s="216"/>
      <c r="E95" s="216"/>
      <c r="F95" s="28" t="s">
        <v>2</v>
      </c>
      <c r="G95" s="216"/>
      <c r="H95" s="217"/>
      <c r="I95" s="217"/>
      <c r="J95" s="218"/>
      <c r="K95" s="217"/>
      <c r="L95" s="216"/>
      <c r="M95" s="216"/>
      <c r="N95" s="216"/>
      <c r="O95" s="216"/>
      <c r="P95" s="216"/>
      <c r="Q95" s="689"/>
      <c r="R95" s="689"/>
    </row>
    <row r="96" spans="1:18">
      <c r="A96" s="216" t="s">
        <v>444</v>
      </c>
      <c r="B96" s="216"/>
      <c r="C96" s="216"/>
      <c r="D96" s="216"/>
      <c r="E96" s="216"/>
      <c r="F96" s="503">
        <f>IF(I94,0.5*G81,G81)</f>
        <v>0</v>
      </c>
      <c r="G96" s="216"/>
      <c r="H96" s="216"/>
      <c r="I96" s="507"/>
      <c r="J96" s="218"/>
      <c r="K96" s="507"/>
      <c r="L96" s="216"/>
      <c r="M96" s="216"/>
      <c r="N96" s="216"/>
      <c r="O96" s="216"/>
      <c r="P96" s="216"/>
      <c r="Q96" s="689"/>
      <c r="R96" s="689"/>
    </row>
    <row r="97" spans="1:23">
      <c r="A97" s="216" t="s">
        <v>445</v>
      </c>
      <c r="B97" s="216"/>
      <c r="C97" s="216"/>
      <c r="D97" s="216"/>
      <c r="E97" s="216"/>
      <c r="F97" s="503">
        <f>IF(I94,0.5*G81,0)</f>
        <v>0</v>
      </c>
      <c r="G97" s="216"/>
      <c r="H97" s="216"/>
      <c r="I97" s="507"/>
      <c r="J97" s="218"/>
      <c r="K97" s="507"/>
      <c r="L97" s="216"/>
      <c r="M97" s="216"/>
      <c r="N97" s="216"/>
      <c r="O97" s="216"/>
      <c r="P97" s="216"/>
      <c r="Q97" s="689"/>
      <c r="R97" s="689"/>
    </row>
    <row r="98" spans="1:23">
      <c r="A98" s="216" t="s">
        <v>446</v>
      </c>
      <c r="B98" s="216"/>
      <c r="C98" s="216"/>
      <c r="D98" s="216"/>
      <c r="E98" s="216"/>
      <c r="F98" s="503">
        <f>IF(I94,0.67*I29,I29)</f>
        <v>0</v>
      </c>
      <c r="G98" s="216"/>
      <c r="H98" s="216"/>
      <c r="I98" s="507"/>
      <c r="J98" s="218"/>
      <c r="K98" s="507"/>
      <c r="L98" s="216"/>
      <c r="M98" s="216"/>
      <c r="N98" s="216"/>
      <c r="O98" s="216"/>
      <c r="P98" s="216"/>
      <c r="Q98" s="689"/>
      <c r="R98" s="689"/>
    </row>
    <row r="99" spans="1:23">
      <c r="A99" s="216" t="s">
        <v>447</v>
      </c>
      <c r="B99" s="216"/>
      <c r="C99" s="216"/>
      <c r="D99" s="216"/>
      <c r="E99" s="216"/>
      <c r="F99" s="503">
        <f>IF(I94,0.33*I29,0)</f>
        <v>0</v>
      </c>
      <c r="G99" s="216"/>
      <c r="H99" s="216"/>
      <c r="I99" s="507"/>
      <c r="J99" s="218"/>
      <c r="K99" s="507"/>
      <c r="L99" s="216"/>
      <c r="M99" s="216"/>
      <c r="N99" s="216"/>
      <c r="O99" s="216"/>
      <c r="P99" s="216"/>
      <c r="Q99" s="689"/>
      <c r="R99" s="689"/>
    </row>
    <row r="100" spans="1:23">
      <c r="A100" s="216" t="s">
        <v>448</v>
      </c>
      <c r="B100" s="216"/>
      <c r="C100" s="216"/>
      <c r="D100" s="216"/>
      <c r="E100" s="216"/>
      <c r="F100" s="71">
        <f>(1-K94)*(F50+G54+G86+G89+(I91-I92))-F96-F98</f>
        <v>2488.6104499012713</v>
      </c>
      <c r="G100" s="216"/>
      <c r="H100" s="216"/>
      <c r="I100" s="216"/>
      <c r="J100" s="216"/>
      <c r="K100" s="216"/>
      <c r="L100" s="216"/>
      <c r="M100" s="216"/>
      <c r="N100" s="216"/>
      <c r="O100" s="216"/>
      <c r="P100" s="567"/>
      <c r="Q100" s="711">
        <f>Q50+Q54+Q76+Q89</f>
        <v>3703.2727103047396</v>
      </c>
    </row>
    <row r="101" spans="1:23">
      <c r="A101" s="216" t="s">
        <v>449</v>
      </c>
      <c r="B101" s="216"/>
      <c r="C101" s="216"/>
      <c r="D101" s="216"/>
      <c r="E101" s="216"/>
      <c r="F101" s="71">
        <f>K94*(F50+G54+G86)-F97-F99</f>
        <v>0</v>
      </c>
      <c r="G101" s="216"/>
      <c r="H101" s="216"/>
      <c r="I101" s="216" t="s">
        <v>450</v>
      </c>
      <c r="J101" s="216"/>
      <c r="L101" s="216"/>
      <c r="M101" s="216"/>
      <c r="N101" s="216"/>
      <c r="O101" s="216"/>
      <c r="Q101" s="691">
        <v>0</v>
      </c>
    </row>
    <row r="102" spans="1:23">
      <c r="A102" s="216" t="s">
        <v>451</v>
      </c>
      <c r="B102" s="216"/>
      <c r="C102" s="216"/>
      <c r="D102" s="216"/>
      <c r="E102" s="216"/>
      <c r="F102" s="219">
        <f>0.8*G86*I93+0.8*(G54+G89)+0.25*F50+0.25*I91+0.25*F34</f>
        <v>1086.0438395629922</v>
      </c>
      <c r="G102" s="216"/>
      <c r="H102" s="216"/>
      <c r="I102" s="216" t="s">
        <v>452</v>
      </c>
      <c r="J102" s="524">
        <f>F50</f>
        <v>1645.1718551964095</v>
      </c>
      <c r="L102" s="174"/>
      <c r="M102" s="174"/>
      <c r="N102" s="174"/>
      <c r="O102" s="174"/>
      <c r="P102" s="568"/>
      <c r="Q102" s="691">
        <f>0.8*Q76+0.8*(Q54+Q89)+0.25*Q50</f>
        <v>1687.9474696792311</v>
      </c>
      <c r="T102" s="480" t="s">
        <v>2</v>
      </c>
      <c r="W102" s="174" t="s">
        <v>2</v>
      </c>
    </row>
    <row r="103" spans="1:23">
      <c r="A103" s="216"/>
      <c r="B103" s="216"/>
      <c r="C103" s="216"/>
      <c r="D103" s="216" t="s">
        <v>453</v>
      </c>
      <c r="E103" s="216"/>
      <c r="F103" s="71">
        <f>F102/8.76</f>
        <v>123.97760725604934</v>
      </c>
      <c r="G103" s="216"/>
      <c r="H103" s="216"/>
      <c r="I103" s="216" t="s">
        <v>454</v>
      </c>
      <c r="J103" s="524">
        <f>G54</f>
        <v>290.32444503466053</v>
      </c>
      <c r="M103" s="174"/>
      <c r="N103" s="174"/>
      <c r="O103" s="174"/>
      <c r="P103" s="271"/>
      <c r="Q103" s="712">
        <f>Q102/8.76</f>
        <v>192.68806731498071</v>
      </c>
    </row>
    <row r="104" spans="1:23">
      <c r="A104" s="174"/>
      <c r="B104" s="174"/>
      <c r="C104" s="174"/>
      <c r="D104" s="174"/>
      <c r="E104" s="174"/>
      <c r="F104" s="174"/>
      <c r="G104" s="174"/>
      <c r="H104" s="174"/>
      <c r="I104" s="216" t="s">
        <v>455</v>
      </c>
      <c r="J104" s="524">
        <f>G86</f>
        <v>243.34269230769235</v>
      </c>
      <c r="M104" s="174"/>
      <c r="N104" s="174"/>
      <c r="O104" s="174"/>
      <c r="P104" s="518"/>
      <c r="Q104" s="692"/>
      <c r="R104" s="692"/>
    </row>
    <row r="105" spans="1:23">
      <c r="A105" s="174" t="s">
        <v>456</v>
      </c>
      <c r="B105" s="174"/>
      <c r="C105" s="71">
        <f>100*G81/F49</f>
        <v>0</v>
      </c>
      <c r="D105" s="174"/>
      <c r="E105" s="174"/>
      <c r="F105" s="174"/>
      <c r="G105" s="174"/>
      <c r="H105" s="174"/>
      <c r="I105" s="216" t="s">
        <v>457</v>
      </c>
      <c r="J105" s="524">
        <f>G89</f>
        <v>309.77145736250912</v>
      </c>
      <c r="M105" s="174"/>
      <c r="N105" s="174"/>
      <c r="O105" s="174"/>
      <c r="P105" s="518"/>
      <c r="Q105" s="692"/>
      <c r="R105" s="713"/>
    </row>
    <row r="106" spans="1:23">
      <c r="A106" s="840" t="str">
        <f>IF(C105&gt;60,"If solar fraction is &gt; 60% then the system may be oversized. This statement does not apply to solar heating systems also providing space heating.","")</f>
        <v/>
      </c>
      <c r="B106" s="841"/>
      <c r="C106" s="841"/>
      <c r="D106" s="841"/>
      <c r="E106" s="841"/>
      <c r="F106" s="842"/>
      <c r="G106" s="154"/>
      <c r="H106" s="174"/>
      <c r="I106" s="216" t="s">
        <v>458</v>
      </c>
      <c r="J106" s="216">
        <f>I91</f>
        <v>0</v>
      </c>
      <c r="M106" s="174"/>
      <c r="N106" s="174"/>
      <c r="O106" s="174"/>
      <c r="P106" s="518"/>
      <c r="Q106" s="692"/>
      <c r="R106" s="713"/>
    </row>
    <row r="107" spans="1:23" ht="28.5" customHeight="1">
      <c r="A107" s="843"/>
      <c r="B107" s="844"/>
      <c r="C107" s="844"/>
      <c r="D107" s="844"/>
      <c r="E107" s="844"/>
      <c r="F107" s="845"/>
      <c r="G107" s="154"/>
      <c r="H107" s="174"/>
      <c r="I107" s="216" t="s">
        <v>459</v>
      </c>
      <c r="J107" s="524">
        <f>G81</f>
        <v>0</v>
      </c>
      <c r="M107" s="174"/>
      <c r="N107" s="174"/>
      <c r="O107" s="174"/>
      <c r="P107" s="518"/>
      <c r="Q107" s="692"/>
      <c r="R107" s="713"/>
    </row>
    <row r="108" spans="1:23">
      <c r="A108" s="154"/>
      <c r="B108" s="154"/>
      <c r="C108" s="154"/>
      <c r="D108" s="154"/>
      <c r="E108" s="154"/>
      <c r="F108" s="154"/>
      <c r="G108" s="154"/>
      <c r="H108" s="174"/>
      <c r="I108" s="174"/>
      <c r="J108" s="174"/>
      <c r="M108" s="174"/>
      <c r="N108" s="174"/>
      <c r="O108" s="174"/>
      <c r="P108" s="174"/>
      <c r="Q108" s="692"/>
      <c r="R108" s="692"/>
    </row>
    <row r="109" spans="1:23">
      <c r="A109" s="154"/>
      <c r="B109" s="154"/>
      <c r="C109" s="154"/>
      <c r="D109" s="154"/>
      <c r="E109" s="154"/>
      <c r="F109" s="154"/>
      <c r="G109" s="154"/>
      <c r="H109" s="174"/>
      <c r="I109" s="174"/>
      <c r="J109" s="174"/>
      <c r="M109" s="174"/>
      <c r="N109" s="174"/>
      <c r="O109" s="174"/>
      <c r="P109" s="174"/>
      <c r="Q109" s="692"/>
      <c r="R109" s="692"/>
    </row>
    <row r="110" spans="1:23">
      <c r="A110" s="154"/>
      <c r="B110" s="154"/>
      <c r="C110" s="154"/>
      <c r="D110" s="154"/>
      <c r="E110" s="154"/>
      <c r="F110" s="154"/>
      <c r="G110" s="154"/>
      <c r="H110" s="174"/>
      <c r="I110" s="174"/>
      <c r="J110" s="174"/>
      <c r="K110" s="174"/>
      <c r="L110" s="174"/>
      <c r="M110" s="174"/>
      <c r="N110" s="174"/>
      <c r="O110" s="174"/>
      <c r="P110" s="518"/>
      <c r="Q110" s="692"/>
      <c r="R110" s="713"/>
    </row>
    <row r="111" spans="1:23">
      <c r="A111" s="174"/>
      <c r="B111" s="174"/>
      <c r="C111" s="174"/>
      <c r="D111" s="174"/>
      <c r="E111" s="174"/>
      <c r="F111" s="174"/>
      <c r="G111" s="174"/>
      <c r="H111" s="174"/>
      <c r="I111" s="174"/>
      <c r="J111" s="174"/>
      <c r="K111" s="174"/>
      <c r="L111" s="174"/>
      <c r="M111" s="174"/>
      <c r="N111" s="174"/>
      <c r="O111" s="174"/>
      <c r="P111" s="174"/>
      <c r="Q111" s="692"/>
      <c r="R111" s="692"/>
    </row>
    <row r="112" spans="1:23">
      <c r="A112" s="25" t="s">
        <v>78</v>
      </c>
      <c r="B112" s="174"/>
      <c r="C112" s="174"/>
      <c r="D112" s="174"/>
      <c r="E112" s="174"/>
      <c r="F112" s="174"/>
      <c r="G112" s="174"/>
      <c r="H112" s="174"/>
      <c r="I112" s="174"/>
      <c r="J112" s="174"/>
      <c r="K112" s="174"/>
      <c r="L112" s="174"/>
      <c r="M112" s="174"/>
      <c r="N112" s="174"/>
      <c r="O112" s="174"/>
      <c r="P112" s="174"/>
      <c r="Q112" s="692"/>
      <c r="R112" s="692"/>
    </row>
    <row r="113" spans="1:18">
      <c r="A113" s="25" t="s">
        <v>187</v>
      </c>
      <c r="B113" s="174"/>
      <c r="C113" s="174"/>
      <c r="D113" s="174"/>
      <c r="E113" s="174"/>
      <c r="F113" s="174"/>
      <c r="G113" s="174"/>
      <c r="H113" s="174"/>
      <c r="I113" s="174"/>
      <c r="J113" s="174"/>
      <c r="K113" s="174"/>
      <c r="L113" s="174"/>
      <c r="M113" s="174"/>
      <c r="N113" s="174"/>
      <c r="O113" s="174"/>
      <c r="P113" s="174"/>
      <c r="Q113" s="692"/>
      <c r="R113" s="692"/>
    </row>
    <row r="114" spans="1:18">
      <c r="A114" s="174" t="s">
        <v>98</v>
      </c>
      <c r="B114" s="174">
        <v>1</v>
      </c>
      <c r="C114" s="174"/>
      <c r="D114" s="174"/>
      <c r="E114" s="174"/>
      <c r="F114" s="174"/>
      <c r="G114" s="174"/>
      <c r="H114" s="174"/>
      <c r="I114" s="174"/>
      <c r="J114" s="174"/>
      <c r="K114" s="174"/>
      <c r="L114" s="174"/>
      <c r="M114" s="174"/>
      <c r="N114" s="174"/>
      <c r="O114" s="174"/>
      <c r="P114" s="174"/>
      <c r="Q114" s="692"/>
      <c r="R114" s="692"/>
    </row>
    <row r="115" spans="1:18">
      <c r="A115" s="174" t="s">
        <v>99</v>
      </c>
      <c r="B115" s="174">
        <v>0</v>
      </c>
      <c r="C115" s="174"/>
      <c r="D115" s="174"/>
      <c r="E115" s="174"/>
      <c r="F115" s="174"/>
      <c r="G115" s="174"/>
      <c r="H115" s="174"/>
      <c r="I115" s="174"/>
      <c r="J115" s="174"/>
      <c r="K115" s="174"/>
      <c r="L115" s="174"/>
      <c r="M115" s="174"/>
      <c r="N115" s="174"/>
      <c r="O115" s="174"/>
      <c r="P115" s="174"/>
      <c r="Q115" s="692"/>
      <c r="R115" s="692"/>
    </row>
    <row r="116" spans="1:18">
      <c r="A116" s="174" t="s">
        <v>103</v>
      </c>
      <c r="B116" s="174">
        <v>0</v>
      </c>
      <c r="C116" s="174"/>
      <c r="D116" s="174"/>
      <c r="E116" s="174"/>
      <c r="F116" s="174"/>
      <c r="G116" s="174"/>
      <c r="H116" s="174"/>
      <c r="I116" s="174"/>
      <c r="J116" s="174"/>
      <c r="K116" s="174"/>
      <c r="L116" s="174"/>
      <c r="M116" s="174"/>
      <c r="N116" s="174"/>
      <c r="O116" s="174"/>
      <c r="P116" s="174"/>
      <c r="Q116" s="692"/>
      <c r="R116" s="692"/>
    </row>
    <row r="117" spans="1:18">
      <c r="A117" s="174"/>
      <c r="B117" s="174"/>
      <c r="C117" s="174"/>
      <c r="D117" s="174"/>
      <c r="E117" s="174"/>
      <c r="F117" s="174"/>
      <c r="G117" s="174"/>
      <c r="H117" s="174"/>
      <c r="I117" s="174"/>
      <c r="J117" s="174"/>
      <c r="K117" s="174"/>
      <c r="L117" s="174"/>
      <c r="M117" s="174"/>
      <c r="N117" s="174"/>
      <c r="O117" s="174"/>
      <c r="P117" s="174"/>
      <c r="Q117" s="692"/>
      <c r="R117" s="692"/>
    </row>
    <row r="118" spans="1:18">
      <c r="A118" s="25" t="s">
        <v>460</v>
      </c>
      <c r="B118" s="174"/>
      <c r="C118" s="174"/>
      <c r="D118" s="174"/>
      <c r="E118" s="174"/>
      <c r="F118" s="174"/>
      <c r="G118" s="174"/>
      <c r="H118" s="174"/>
      <c r="I118" s="174"/>
      <c r="J118" s="174"/>
      <c r="K118" s="174"/>
      <c r="L118" s="174"/>
      <c r="M118" s="174"/>
      <c r="N118" s="174"/>
      <c r="O118" s="174"/>
      <c r="P118" s="174"/>
      <c r="Q118" s="692"/>
      <c r="R118" s="692"/>
    </row>
    <row r="119" spans="1:18">
      <c r="A119" s="174" t="s">
        <v>419</v>
      </c>
      <c r="B119" s="174"/>
      <c r="C119" s="174">
        <v>1</v>
      </c>
      <c r="D119" s="174"/>
      <c r="E119" s="174"/>
      <c r="F119" s="174"/>
      <c r="G119" s="174"/>
      <c r="H119" s="174"/>
      <c r="I119" s="174"/>
      <c r="J119" s="174"/>
      <c r="K119" s="174"/>
      <c r="L119" s="174"/>
      <c r="M119" s="174"/>
      <c r="N119" s="174"/>
      <c r="O119" s="174"/>
      <c r="P119" s="174"/>
      <c r="Q119" s="692"/>
      <c r="R119" s="692"/>
    </row>
    <row r="120" spans="1:18">
      <c r="A120" s="174" t="s">
        <v>461</v>
      </c>
      <c r="B120" s="174"/>
      <c r="C120" s="174">
        <v>2</v>
      </c>
      <c r="D120" s="174"/>
      <c r="E120" s="174"/>
      <c r="F120" s="174"/>
      <c r="G120" s="174"/>
      <c r="H120" s="174"/>
      <c r="I120" s="174"/>
      <c r="J120" s="174"/>
      <c r="K120" s="174"/>
      <c r="L120" s="174"/>
      <c r="M120" s="174"/>
      <c r="N120" s="174"/>
      <c r="O120" s="174"/>
      <c r="P120" s="174"/>
      <c r="Q120" s="692"/>
      <c r="R120" s="692"/>
    </row>
    <row r="121" spans="1:18">
      <c r="A121" s="174" t="s">
        <v>15</v>
      </c>
      <c r="B121" s="174"/>
      <c r="C121" s="174">
        <v>2</v>
      </c>
      <c r="D121" s="174"/>
      <c r="E121" s="174"/>
      <c r="F121" s="174"/>
      <c r="G121" s="174"/>
      <c r="H121" s="174"/>
      <c r="I121" s="174"/>
      <c r="J121" s="174"/>
      <c r="K121" s="174"/>
      <c r="L121" s="174"/>
      <c r="M121" s="174"/>
      <c r="N121" s="174"/>
      <c r="O121" s="174"/>
      <c r="P121" s="174"/>
      <c r="Q121" s="692"/>
      <c r="R121" s="692"/>
    </row>
    <row r="122" spans="1:18">
      <c r="A122" s="174" t="s">
        <v>103</v>
      </c>
      <c r="B122" s="174"/>
      <c r="C122" s="174">
        <v>2</v>
      </c>
      <c r="D122" s="174"/>
      <c r="E122" s="174"/>
      <c r="F122" s="174"/>
      <c r="G122" s="174"/>
      <c r="H122" s="174"/>
      <c r="I122" s="174"/>
      <c r="J122" s="174"/>
      <c r="K122" s="174"/>
      <c r="L122" s="174"/>
      <c r="M122" s="174"/>
      <c r="N122" s="174"/>
      <c r="O122" s="174"/>
      <c r="P122" s="174"/>
      <c r="Q122" s="692"/>
      <c r="R122" s="692"/>
    </row>
    <row r="123" spans="1:18">
      <c r="A123" s="25" t="s">
        <v>462</v>
      </c>
      <c r="B123" s="174"/>
      <c r="C123" s="174"/>
      <c r="D123" s="174"/>
      <c r="E123" s="174"/>
      <c r="F123" s="174"/>
      <c r="G123" s="174"/>
      <c r="H123" s="174"/>
      <c r="I123" s="174"/>
      <c r="J123" s="174"/>
      <c r="K123" s="174"/>
      <c r="L123" s="174"/>
      <c r="M123" s="174"/>
      <c r="N123" s="174"/>
      <c r="O123" s="174"/>
      <c r="P123" s="174"/>
      <c r="Q123" s="692"/>
      <c r="R123" s="692"/>
    </row>
    <row r="124" spans="1:18">
      <c r="A124" s="216">
        <f>IF(G66="None",0,H67)</f>
        <v>100</v>
      </c>
    </row>
    <row r="126" spans="1:18">
      <c r="A126" s="272" t="s">
        <v>463</v>
      </c>
      <c r="B126" s="65"/>
      <c r="C126" s="65"/>
    </row>
    <row r="127" spans="1:18" ht="38.25">
      <c r="B127" s="273" t="s">
        <v>464</v>
      </c>
      <c r="C127" s="273" t="s">
        <v>465</v>
      </c>
    </row>
    <row r="128" spans="1:18">
      <c r="A128" s="14" t="s">
        <v>372</v>
      </c>
      <c r="B128" s="14">
        <v>7</v>
      </c>
    </row>
    <row r="129" spans="1:20">
      <c r="A129" s="14" t="s">
        <v>366</v>
      </c>
      <c r="B129" s="14">
        <v>12</v>
      </c>
    </row>
    <row r="130" spans="1:20">
      <c r="A130" s="14" t="s">
        <v>376</v>
      </c>
      <c r="B130" s="14">
        <v>11</v>
      </c>
    </row>
    <row r="131" spans="1:20">
      <c r="A131" s="174" t="s">
        <v>466</v>
      </c>
      <c r="B131" s="14">
        <v>0</v>
      </c>
      <c r="C131" s="14">
        <v>9.3000000000000007</v>
      </c>
    </row>
    <row r="133" spans="1:20">
      <c r="A133" s="216"/>
      <c r="B133" s="216"/>
      <c r="C133" s="216"/>
      <c r="D133" s="216"/>
      <c r="E133" s="216"/>
      <c r="F133" s="219"/>
      <c r="G133" s="220"/>
      <c r="H133" s="216"/>
      <c r="I133" s="216"/>
      <c r="J133" s="216"/>
      <c r="K133" s="216"/>
      <c r="L133" s="216"/>
      <c r="M133" s="216"/>
      <c r="N133" s="216"/>
      <c r="O133" s="216"/>
      <c r="P133" s="216"/>
      <c r="Q133" s="689"/>
      <c r="R133" s="689"/>
    </row>
    <row r="134" spans="1:20">
      <c r="A134" s="274" t="s">
        <v>467</v>
      </c>
      <c r="B134" s="275"/>
      <c r="C134" s="275"/>
      <c r="D134" s="275"/>
      <c r="E134" s="275"/>
      <c r="F134" s="275"/>
      <c r="G134" s="275"/>
      <c r="H134" s="275"/>
      <c r="I134" s="275"/>
      <c r="J134" s="275"/>
      <c r="K134" s="275"/>
      <c r="L134" s="275"/>
      <c r="M134" s="275"/>
      <c r="N134" s="275"/>
      <c r="O134" s="216"/>
      <c r="P134" s="216"/>
      <c r="Q134" s="689"/>
      <c r="R134" s="689"/>
    </row>
    <row r="135" spans="1:20">
      <c r="A135" s="276" t="s">
        <v>468</v>
      </c>
      <c r="B135" s="277" t="s">
        <v>469</v>
      </c>
      <c r="C135" s="277" t="s">
        <v>470</v>
      </c>
      <c r="D135" s="277" t="s">
        <v>471</v>
      </c>
      <c r="E135" s="277" t="s">
        <v>472</v>
      </c>
      <c r="F135" s="277" t="s">
        <v>473</v>
      </c>
      <c r="G135" s="277" t="s">
        <v>474</v>
      </c>
      <c r="H135" s="277" t="s">
        <v>475</v>
      </c>
      <c r="I135" s="277" t="s">
        <v>476</v>
      </c>
      <c r="J135" s="277" t="s">
        <v>477</v>
      </c>
      <c r="K135" s="277" t="s">
        <v>478</v>
      </c>
      <c r="L135" s="277" t="s">
        <v>479</v>
      </c>
      <c r="M135" s="278" t="s">
        <v>480</v>
      </c>
      <c r="N135" s="278"/>
      <c r="O135" s="216"/>
      <c r="P135" s="216"/>
      <c r="Q135" s="689"/>
      <c r="R135" s="689"/>
    </row>
    <row r="136" spans="1:20">
      <c r="A136" s="277">
        <v>31</v>
      </c>
      <c r="B136" s="277">
        <v>28</v>
      </c>
      <c r="C136" s="277">
        <v>31</v>
      </c>
      <c r="D136" s="277">
        <v>30</v>
      </c>
      <c r="E136" s="277">
        <v>31</v>
      </c>
      <c r="F136" s="277">
        <v>30</v>
      </c>
      <c r="G136" s="277">
        <v>31</v>
      </c>
      <c r="H136" s="277">
        <v>31</v>
      </c>
      <c r="I136" s="277">
        <v>30</v>
      </c>
      <c r="J136" s="277">
        <v>31</v>
      </c>
      <c r="K136" s="277">
        <v>30</v>
      </c>
      <c r="L136" s="277">
        <v>31</v>
      </c>
      <c r="M136" s="277">
        <v>365</v>
      </c>
      <c r="N136" s="277"/>
      <c r="O136" s="216"/>
      <c r="P136" s="216"/>
      <c r="Q136" s="689"/>
      <c r="R136" s="714"/>
    </row>
    <row r="137" spans="1:20">
      <c r="A137" s="216"/>
      <c r="B137" s="216"/>
      <c r="C137" s="216"/>
      <c r="D137" s="216"/>
      <c r="E137" s="216"/>
      <c r="F137" s="219"/>
      <c r="G137" s="220"/>
      <c r="H137" s="216"/>
      <c r="I137" s="216"/>
      <c r="J137" s="216"/>
      <c r="K137" s="216"/>
      <c r="L137" s="216"/>
      <c r="M137" s="216"/>
      <c r="N137" s="216"/>
      <c r="O137" s="216"/>
      <c r="P137" s="216"/>
      <c r="Q137" s="689"/>
      <c r="R137" s="689"/>
    </row>
    <row r="138" spans="1:20">
      <c r="A138" s="216" t="s">
        <v>2</v>
      </c>
      <c r="B138" s="216"/>
      <c r="C138" s="216"/>
      <c r="D138" s="216"/>
      <c r="E138" s="216"/>
      <c r="F138" s="219"/>
      <c r="G138" s="220"/>
      <c r="H138" s="216"/>
      <c r="I138" s="216"/>
      <c r="J138" s="216"/>
      <c r="K138" s="216"/>
      <c r="L138" s="216"/>
      <c r="M138" s="216"/>
      <c r="N138" s="216"/>
      <c r="O138" s="216"/>
      <c r="P138" s="216"/>
      <c r="Q138" s="689"/>
      <c r="R138" s="689"/>
    </row>
    <row r="139" spans="1:20">
      <c r="A139" s="274" t="s">
        <v>1399</v>
      </c>
      <c r="B139" s="275"/>
      <c r="C139" s="275"/>
      <c r="D139" s="279" t="s">
        <v>2</v>
      </c>
      <c r="E139" s="279" t="s">
        <v>2</v>
      </c>
      <c r="F139" s="279" t="s">
        <v>2</v>
      </c>
      <c r="G139" s="275"/>
      <c r="H139" s="275"/>
      <c r="I139" s="275"/>
      <c r="J139" s="275"/>
      <c r="K139" s="275"/>
      <c r="L139" s="275"/>
      <c r="M139" s="275"/>
      <c r="N139" s="275"/>
      <c r="O139" s="216"/>
      <c r="P139" s="216"/>
      <c r="Q139" s="689"/>
      <c r="R139" s="689"/>
    </row>
    <row r="140" spans="1:20">
      <c r="A140" s="275" t="s">
        <v>468</v>
      </c>
      <c r="B140" s="275" t="s">
        <v>469</v>
      </c>
      <c r="C140" s="275" t="s">
        <v>470</v>
      </c>
      <c r="D140" s="275" t="s">
        <v>471</v>
      </c>
      <c r="E140" s="275" t="s">
        <v>472</v>
      </c>
      <c r="F140" s="275" t="s">
        <v>473</v>
      </c>
      <c r="G140" s="275" t="s">
        <v>474</v>
      </c>
      <c r="H140" s="275" t="s">
        <v>475</v>
      </c>
      <c r="I140" s="275" t="s">
        <v>481</v>
      </c>
      <c r="J140" s="275" t="s">
        <v>477</v>
      </c>
      <c r="K140" s="275" t="s">
        <v>478</v>
      </c>
      <c r="L140" s="275" t="s">
        <v>479</v>
      </c>
      <c r="M140" s="280" t="s">
        <v>480</v>
      </c>
      <c r="N140" s="280"/>
      <c r="O140" s="216"/>
      <c r="P140" s="216"/>
      <c r="Q140" s="689"/>
      <c r="R140" s="689"/>
    </row>
    <row r="141" spans="1:20">
      <c r="A141" s="275">
        <v>7.1</v>
      </c>
      <c r="B141" s="275">
        <v>8.1999999999999993</v>
      </c>
      <c r="C141" s="275">
        <v>9.4</v>
      </c>
      <c r="D141" s="275">
        <v>13.4</v>
      </c>
      <c r="E141" s="275">
        <v>15.3</v>
      </c>
      <c r="F141" s="275">
        <v>17.600000000000001</v>
      </c>
      <c r="G141" s="275">
        <v>18.2</v>
      </c>
      <c r="H141" s="275">
        <v>17.3</v>
      </c>
      <c r="I141" s="275">
        <v>16.100000000000001</v>
      </c>
      <c r="J141" s="275">
        <v>13.5</v>
      </c>
      <c r="K141" s="275">
        <v>10.3</v>
      </c>
      <c r="L141" s="275">
        <v>6.8</v>
      </c>
      <c r="M141" s="281">
        <f>(A141*A$136+B141*B$136+C141*C$136+D141*D$136+E141*E$136+F141*F$136+G141*G$136+H141*H$136+I141*I$136+J141*J$136+K141*K$136+L141*L$136)/365</f>
        <v>12.786849315068492</v>
      </c>
      <c r="N141" s="281"/>
      <c r="O141" s="216"/>
      <c r="P141" s="216"/>
      <c r="T141" s="662" t="s">
        <v>2</v>
      </c>
    </row>
    <row r="142" spans="1:20">
      <c r="A142" s="216" t="s">
        <v>2</v>
      </c>
      <c r="B142" s="28"/>
      <c r="C142" s="216"/>
      <c r="D142" s="218"/>
      <c r="E142" s="216"/>
      <c r="F142" s="219" t="s">
        <v>2</v>
      </c>
      <c r="G142" s="216"/>
      <c r="H142" s="216"/>
      <c r="I142" s="216"/>
      <c r="J142" s="216"/>
      <c r="K142" s="216"/>
      <c r="L142" s="216"/>
      <c r="M142" s="216"/>
      <c r="N142" s="216"/>
      <c r="O142" s="216"/>
      <c r="P142" s="216"/>
      <c r="R142" s="689"/>
    </row>
    <row r="143" spans="1:20">
      <c r="A143" s="274" t="s">
        <v>482</v>
      </c>
      <c r="B143" s="275"/>
      <c r="C143" s="275"/>
      <c r="D143" s="275"/>
      <c r="E143" s="275"/>
      <c r="F143" s="275"/>
      <c r="G143" s="275" t="s">
        <v>2</v>
      </c>
      <c r="H143" s="275" t="s">
        <v>2</v>
      </c>
      <c r="I143" s="275" t="s">
        <v>2</v>
      </c>
      <c r="J143" s="275" t="s">
        <v>2</v>
      </c>
      <c r="K143" s="275" t="s">
        <v>2</v>
      </c>
      <c r="L143" s="275" t="s">
        <v>2</v>
      </c>
      <c r="M143" s="275" t="s">
        <v>2</v>
      </c>
      <c r="N143" s="275"/>
      <c r="O143" s="216"/>
      <c r="P143" s="216"/>
      <c r="R143" s="689"/>
    </row>
    <row r="144" spans="1:20">
      <c r="A144" s="275" t="s">
        <v>468</v>
      </c>
      <c r="B144" s="275" t="s">
        <v>469</v>
      </c>
      <c r="C144" s="275" t="s">
        <v>470</v>
      </c>
      <c r="D144" s="275" t="s">
        <v>471</v>
      </c>
      <c r="E144" s="275" t="s">
        <v>472</v>
      </c>
      <c r="F144" s="275" t="s">
        <v>473</v>
      </c>
      <c r="G144" s="275" t="s">
        <v>474</v>
      </c>
      <c r="H144" s="275" t="s">
        <v>475</v>
      </c>
      <c r="I144" s="275" t="s">
        <v>481</v>
      </c>
      <c r="J144" s="275" t="s">
        <v>477</v>
      </c>
      <c r="K144" s="275" t="s">
        <v>478</v>
      </c>
      <c r="L144" s="275" t="s">
        <v>479</v>
      </c>
      <c r="M144" s="275" t="s">
        <v>483</v>
      </c>
      <c r="N144" s="275"/>
      <c r="O144" s="216"/>
      <c r="P144" s="216"/>
      <c r="R144" s="689"/>
    </row>
    <row r="145" spans="1:58">
      <c r="A145" s="277">
        <v>41.2</v>
      </c>
      <c r="B145" s="277">
        <v>41.4</v>
      </c>
      <c r="C145" s="277">
        <v>40.1</v>
      </c>
      <c r="D145" s="277">
        <v>37.6</v>
      </c>
      <c r="E145" s="277">
        <v>36.4</v>
      </c>
      <c r="F145" s="277">
        <v>33.9</v>
      </c>
      <c r="G145" s="277">
        <v>30.4</v>
      </c>
      <c r="H145" s="277">
        <v>33.4</v>
      </c>
      <c r="I145" s="277">
        <v>33.5</v>
      </c>
      <c r="J145" s="277">
        <v>36.299999999999997</v>
      </c>
      <c r="K145" s="277">
        <v>39.4</v>
      </c>
      <c r="L145" s="277">
        <v>39.9</v>
      </c>
      <c r="M145" s="277">
        <v>37</v>
      </c>
      <c r="N145" s="277"/>
      <c r="O145" s="216"/>
      <c r="P145" s="216"/>
      <c r="R145" s="689"/>
    </row>
    <row r="146" spans="1:58">
      <c r="A146" s="216"/>
      <c r="B146" s="28"/>
      <c r="C146" s="216"/>
      <c r="D146" s="218"/>
      <c r="E146" s="562"/>
      <c r="F146" s="216"/>
      <c r="G146" s="218"/>
      <c r="H146" s="216"/>
      <c r="I146" s="216"/>
      <c r="J146" s="216"/>
      <c r="K146" s="216"/>
      <c r="L146" s="216"/>
      <c r="M146" s="216"/>
      <c r="N146" s="216"/>
      <c r="O146" s="216"/>
      <c r="P146" s="216"/>
      <c r="Q146" s="689"/>
      <c r="R146" s="689"/>
    </row>
    <row r="148" spans="1:58">
      <c r="AJ148" s="14" t="s">
        <v>2</v>
      </c>
      <c r="AK148" s="14" t="s">
        <v>2</v>
      </c>
      <c r="AL148" s="14" t="s">
        <v>2</v>
      </c>
      <c r="AM148" s="14" t="s">
        <v>2</v>
      </c>
      <c r="AN148" s="14" t="s">
        <v>2</v>
      </c>
      <c r="AO148" s="14" t="s">
        <v>2</v>
      </c>
      <c r="AP148" s="14" t="s">
        <v>2</v>
      </c>
      <c r="AQ148" s="14" t="s">
        <v>2</v>
      </c>
      <c r="AR148" s="14" t="s">
        <v>2</v>
      </c>
      <c r="AS148" s="14" t="s">
        <v>2</v>
      </c>
      <c r="AT148" s="14">
        <v>41.2</v>
      </c>
      <c r="AU148" s="14">
        <v>41.4</v>
      </c>
      <c r="AV148" s="14">
        <v>40.1</v>
      </c>
      <c r="AW148" s="14">
        <v>37.6</v>
      </c>
      <c r="AX148" s="14">
        <v>36.4</v>
      </c>
      <c r="AY148" s="14">
        <v>33.9</v>
      </c>
      <c r="AZ148" s="14">
        <v>30.4</v>
      </c>
      <c r="BA148" s="14">
        <v>33.4</v>
      </c>
      <c r="BB148" s="14">
        <v>33.5</v>
      </c>
      <c r="BC148" s="14">
        <v>36.299999999999997</v>
      </c>
      <c r="BD148" s="14">
        <v>39.4</v>
      </c>
      <c r="BE148" s="14">
        <v>39.9</v>
      </c>
      <c r="BF148" s="14">
        <v>37</v>
      </c>
    </row>
  </sheetData>
  <sheetProtection algorithmName="SHA-512" hashValue="s+XTIHFRwHv3RYimwm/8IoQNXxNJf+ouVSH+goWBl4TxGS4Hfuk4jJU8J1GNpJmswXP/oPHhK1+yRwmWtXEF5A==" saltValue="nS6YUMnUkNKerkqI2yM6Mw==" spinCount="100000" sheet="1" objects="1" scenarios="1"/>
  <dataConsolidate/>
  <mergeCells count="9">
    <mergeCell ref="G66:H66"/>
    <mergeCell ref="A106:F107"/>
    <mergeCell ref="D14:E14"/>
    <mergeCell ref="D15:E15"/>
    <mergeCell ref="D16:E16"/>
    <mergeCell ref="D17:E17"/>
    <mergeCell ref="D18:E18"/>
    <mergeCell ref="B41:C41"/>
    <mergeCell ref="E21:F21"/>
  </mergeCells>
  <phoneticPr fontId="0" type="noConversion"/>
  <conditionalFormatting sqref="D23:F23">
    <cfRule type="expression" dxfId="59" priority="5">
      <formula>$D$14="Instantaneous electric shower (vented or unvented)"</formula>
    </cfRule>
  </conditionalFormatting>
  <conditionalFormatting sqref="D24:F24">
    <cfRule type="expression" dxfId="58" priority="4">
      <formula>$D$15="Instantaneous electric shower (vented or unvented)"</formula>
    </cfRule>
  </conditionalFormatting>
  <conditionalFormatting sqref="D25:F25">
    <cfRule type="expression" dxfId="57" priority="3">
      <formula>$D$16="Instantaneous electric shower (vented or unvented)"</formula>
    </cfRule>
  </conditionalFormatting>
  <conditionalFormatting sqref="D26:F26">
    <cfRule type="expression" dxfId="56" priority="2">
      <formula>$D$17="Instantaneous electric shower (vented or unvented)"</formula>
    </cfRule>
  </conditionalFormatting>
  <conditionalFormatting sqref="D27:F27">
    <cfRule type="expression" dxfId="55" priority="1">
      <formula>$D$18="Instantaneous electric shower (vented or unvented)"</formula>
    </cfRule>
  </conditionalFormatting>
  <dataValidations count="5">
    <dataValidation type="list" allowBlank="1" showInputMessage="1" showErrorMessage="1" errorTitle="DEAP" error="Please select item from drop-down list." sqref="E53 F83 F78 G60 E56 H93:H94" xr:uid="{00000000-0002-0000-0700-000000000000}">
      <formula1>$A$114:$A$116</formula1>
    </dataValidation>
    <dataValidation type="list" allowBlank="1" showInputMessage="1" showErrorMessage="1" errorTitle="DEAP" error="Please select item from drop-down list." sqref="G66:H66" xr:uid="{00000000-0002-0000-0700-000001000000}">
      <formula1>$A$119:$A$122</formula1>
    </dataValidation>
    <dataValidation type="list" allowBlank="1" showInputMessage="1" showErrorMessage="1" sqref="F14:F18 C14:C18 F7 F36 D23:D27" xr:uid="{00000000-0002-0000-0700-000002000000}">
      <formula1>"Yes,No"</formula1>
    </dataValidation>
    <dataValidation type="list" allowBlank="1" showInputMessage="1" showErrorMessage="1" sqref="F5" xr:uid="{00000000-0002-0000-0700-000003000000}">
      <formula1>"0,1,2,3,4,5"</formula1>
    </dataValidation>
    <dataValidation type="list" allowBlank="1" showInputMessage="1" showErrorMessage="1" sqref="D14:E18" xr:uid="{00000000-0002-0000-0700-000004000000}">
      <formula1>$A$128:$A$131</formula1>
    </dataValidation>
  </dataValidations>
  <pageMargins left="0.55000000000000004" right="0.6" top="1" bottom="1" header="0.5" footer="0.5"/>
  <pageSetup paperSize="9" scale="13"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80"/>
  <sheetViews>
    <sheetView workbookViewId="0">
      <selection activeCell="G41" sqref="G41"/>
    </sheetView>
  </sheetViews>
  <sheetFormatPr defaultColWidth="9.140625" defaultRowHeight="12.75"/>
  <cols>
    <col min="1" max="1" width="12.140625" style="14" customWidth="1"/>
    <col min="2" max="3" width="9.140625" style="14"/>
    <col min="4" max="4" width="14.7109375" style="14" customWidth="1"/>
    <col min="5" max="5" width="17.7109375" style="14" customWidth="1"/>
    <col min="6" max="11" width="9.140625" style="14"/>
    <col min="12" max="12" width="9.140625" style="708" customWidth="1"/>
    <col min="13" max="15" width="9.140625" style="14"/>
    <col min="16" max="16" width="39.7109375" style="14" bestFit="1" customWidth="1"/>
    <col min="17" max="17" width="24" style="14" customWidth="1"/>
    <col min="18" max="16384" width="9.140625" style="14"/>
  </cols>
  <sheetData>
    <row r="1" spans="1:12" s="65" customFormat="1" ht="18" customHeight="1">
      <c r="A1" s="23" t="s">
        <v>484</v>
      </c>
      <c r="B1" s="26"/>
      <c r="C1" s="500"/>
      <c r="D1" s="500"/>
      <c r="E1" s="500"/>
      <c r="F1" s="27"/>
      <c r="G1" s="27"/>
      <c r="H1" s="500"/>
      <c r="I1" s="500"/>
      <c r="J1" s="507"/>
      <c r="L1" s="689" t="s">
        <v>350</v>
      </c>
    </row>
    <row r="2" spans="1:12">
      <c r="A2" s="14" t="s">
        <v>485</v>
      </c>
    </row>
    <row r="3" spans="1:12" ht="13.5" customHeight="1"/>
    <row r="4" spans="1:12" ht="18.75">
      <c r="A4" s="150" t="s">
        <v>486</v>
      </c>
      <c r="G4" s="289" t="s">
        <v>487</v>
      </c>
      <c r="H4" s="22">
        <f>11.2*59.73*(tfa*N)^0.4714</f>
        <v>10773.417734119581</v>
      </c>
      <c r="I4" s="175" t="s">
        <v>488</v>
      </c>
    </row>
    <row r="5" spans="1:12">
      <c r="G5" s="73"/>
      <c r="H5" s="69"/>
    </row>
    <row r="6" spans="1:12" ht="18.75">
      <c r="A6" s="174" t="s">
        <v>489</v>
      </c>
      <c r="G6" s="289" t="s">
        <v>490</v>
      </c>
      <c r="H6" s="22">
        <f>2/3*H4*G54</f>
        <v>6925.4599383166333</v>
      </c>
      <c r="I6" s="175" t="s">
        <v>488</v>
      </c>
    </row>
    <row r="7" spans="1:12">
      <c r="G7" s="73"/>
      <c r="H7" s="69"/>
    </row>
    <row r="8" spans="1:12">
      <c r="A8" s="174" t="s">
        <v>491</v>
      </c>
      <c r="G8" s="21" t="s">
        <v>492</v>
      </c>
      <c r="H8" s="22">
        <f>330*tfa</f>
        <v>41580</v>
      </c>
      <c r="I8" s="21" t="s">
        <v>493</v>
      </c>
    </row>
    <row r="9" spans="1:12">
      <c r="G9" s="73"/>
      <c r="H9" s="69"/>
    </row>
    <row r="10" spans="1:12">
      <c r="A10" s="13" t="s">
        <v>494</v>
      </c>
      <c r="G10" s="73"/>
      <c r="H10" s="69"/>
    </row>
    <row r="11" spans="1:12" ht="15">
      <c r="A11" s="13"/>
      <c r="B11" s="174" t="s">
        <v>495</v>
      </c>
      <c r="E11" s="282" t="s">
        <v>98</v>
      </c>
      <c r="G11" s="73"/>
      <c r="H11" s="69"/>
    </row>
    <row r="12" spans="1:12">
      <c r="A12" s="176"/>
      <c r="B12" s="21"/>
      <c r="C12" s="21"/>
      <c r="G12" s="73"/>
      <c r="H12" s="69"/>
    </row>
    <row r="13" spans="1:12">
      <c r="A13" s="21"/>
      <c r="B13" s="175" t="s">
        <v>496</v>
      </c>
    </row>
    <row r="14" spans="1:12">
      <c r="A14" s="21"/>
      <c r="B14" s="21"/>
      <c r="C14" s="21"/>
      <c r="G14" s="73"/>
      <c r="H14" s="69"/>
    </row>
    <row r="15" spans="1:12" ht="38.25">
      <c r="A15" s="21"/>
      <c r="B15" s="290" t="s">
        <v>497</v>
      </c>
      <c r="C15" s="291" t="s">
        <v>498</v>
      </c>
      <c r="D15" s="265" t="s">
        <v>499</v>
      </c>
      <c r="E15" s="265" t="s">
        <v>500</v>
      </c>
      <c r="F15" s="265" t="s">
        <v>501</v>
      </c>
      <c r="G15" s="265" t="s">
        <v>501</v>
      </c>
      <c r="H15" s="222" t="s">
        <v>502</v>
      </c>
    </row>
    <row r="16" spans="1:12" ht="15">
      <c r="A16" s="21"/>
      <c r="B16" s="22">
        <v>1</v>
      </c>
      <c r="C16" s="284">
        <v>504</v>
      </c>
      <c r="D16" s="282" t="s">
        <v>98</v>
      </c>
      <c r="E16" s="285" t="s">
        <v>503</v>
      </c>
      <c r="F16" s="286">
        <v>94</v>
      </c>
      <c r="G16" s="73">
        <f>IF(D16="Yes",F16,VLOOKUP(E16,$A$76:$B$80,2,FALSE))</f>
        <v>94</v>
      </c>
      <c r="H16" s="69">
        <f>C16*G16</f>
        <v>47376</v>
      </c>
    </row>
    <row r="17" spans="1:9" ht="15">
      <c r="A17" s="21"/>
      <c r="B17" s="22">
        <v>2</v>
      </c>
      <c r="C17" s="284"/>
      <c r="D17" s="282" t="s">
        <v>99</v>
      </c>
      <c r="E17" s="285" t="s">
        <v>504</v>
      </c>
      <c r="F17" s="286"/>
      <c r="G17" s="73">
        <f t="shared" ref="G17:G20" si="0">IF(D17="Yes",F17,VLOOKUP(E17,$A$76:$B$80,2,FALSE))</f>
        <v>66.900000000000006</v>
      </c>
      <c r="H17" s="69">
        <f t="shared" ref="H17:H20" si="1">C17*G17</f>
        <v>0</v>
      </c>
    </row>
    <row r="18" spans="1:9" ht="15">
      <c r="A18" s="21"/>
      <c r="B18" s="22">
        <v>3</v>
      </c>
      <c r="C18" s="284"/>
      <c r="D18" s="282" t="s">
        <v>99</v>
      </c>
      <c r="E18" s="285" t="s">
        <v>503</v>
      </c>
      <c r="F18" s="286"/>
      <c r="G18" s="73">
        <f t="shared" si="0"/>
        <v>26.1</v>
      </c>
      <c r="H18" s="69">
        <f t="shared" si="1"/>
        <v>0</v>
      </c>
    </row>
    <row r="19" spans="1:9" ht="15">
      <c r="B19" s="22">
        <v>4</v>
      </c>
      <c r="C19" s="287"/>
      <c r="D19" s="282" t="s">
        <v>99</v>
      </c>
      <c r="E19" s="285" t="s">
        <v>505</v>
      </c>
      <c r="F19" s="286"/>
      <c r="G19" s="73">
        <f t="shared" si="0"/>
        <v>15.7</v>
      </c>
      <c r="H19" s="69">
        <f t="shared" si="1"/>
        <v>0</v>
      </c>
    </row>
    <row r="20" spans="1:9" ht="15">
      <c r="A20" s="176"/>
      <c r="B20" s="22">
        <v>5</v>
      </c>
      <c r="C20" s="284"/>
      <c r="D20" s="282" t="s">
        <v>99</v>
      </c>
      <c r="E20" s="285" t="s">
        <v>506</v>
      </c>
      <c r="F20" s="288" t="s">
        <v>2</v>
      </c>
      <c r="G20" s="73">
        <f t="shared" si="0"/>
        <v>11.2</v>
      </c>
      <c r="H20" s="69">
        <f t="shared" si="1"/>
        <v>0</v>
      </c>
    </row>
    <row r="21" spans="1:9">
      <c r="G21" s="73"/>
      <c r="H21" s="69"/>
    </row>
    <row r="22" spans="1:9">
      <c r="C22" s="14">
        <f>SUM(C16:C20)</f>
        <v>504</v>
      </c>
      <c r="G22" s="175" t="s">
        <v>507</v>
      </c>
      <c r="H22" s="136">
        <f>IF(E11="Yes",SUM(H16:H20),"")</f>
        <v>47376</v>
      </c>
      <c r="I22" s="21" t="s">
        <v>493</v>
      </c>
    </row>
    <row r="23" spans="1:9">
      <c r="G23" s="73"/>
      <c r="H23" s="69"/>
    </row>
    <row r="24" spans="1:9">
      <c r="A24" s="21"/>
      <c r="B24" s="175" t="s">
        <v>508</v>
      </c>
    </row>
    <row r="25" spans="1:9">
      <c r="A25" s="21"/>
      <c r="B25" s="21"/>
      <c r="C25" s="21"/>
      <c r="G25" s="73"/>
      <c r="H25" s="69"/>
    </row>
    <row r="26" spans="1:9" ht="25.5">
      <c r="A26" s="21"/>
      <c r="C26" s="290" t="s">
        <v>497</v>
      </c>
      <c r="D26" s="291" t="s">
        <v>509</v>
      </c>
      <c r="E26" s="265" t="s">
        <v>500</v>
      </c>
      <c r="F26" s="265" t="s">
        <v>501</v>
      </c>
      <c r="H26" s="222"/>
    </row>
    <row r="27" spans="1:9" ht="15">
      <c r="A27" s="21"/>
      <c r="C27" s="22">
        <v>1</v>
      </c>
      <c r="D27" s="284">
        <v>0</v>
      </c>
      <c r="E27" s="285" t="s">
        <v>540</v>
      </c>
      <c r="F27" s="73">
        <f>VLOOKUP(E27,$A$76:$B$80,2,FALSE)</f>
        <v>80.5</v>
      </c>
      <c r="H27" s="69"/>
    </row>
    <row r="28" spans="1:9" ht="15">
      <c r="A28" s="21"/>
      <c r="C28" s="22">
        <v>2</v>
      </c>
      <c r="D28" s="284">
        <v>0</v>
      </c>
      <c r="E28" s="285" t="s">
        <v>504</v>
      </c>
      <c r="F28" s="73">
        <f t="shared" ref="F28:F31" si="2">VLOOKUP(E28,$A$76:$B$80,2,FALSE)</f>
        <v>66.900000000000006</v>
      </c>
      <c r="H28" s="69"/>
    </row>
    <row r="29" spans="1:9" ht="15">
      <c r="A29" s="21"/>
      <c r="C29" s="22">
        <v>3</v>
      </c>
      <c r="D29" s="284"/>
      <c r="E29" s="285" t="s">
        <v>503</v>
      </c>
      <c r="F29" s="73">
        <f t="shared" si="2"/>
        <v>26.1</v>
      </c>
      <c r="H29" s="69"/>
    </row>
    <row r="30" spans="1:9" ht="15">
      <c r="C30" s="22">
        <v>4</v>
      </c>
      <c r="D30" s="287"/>
      <c r="E30" s="285" t="s">
        <v>505</v>
      </c>
      <c r="F30" s="73">
        <f t="shared" si="2"/>
        <v>15.7</v>
      </c>
      <c r="H30" s="69"/>
    </row>
    <row r="31" spans="1:9" ht="15">
      <c r="A31" s="176"/>
      <c r="C31" s="22">
        <v>5</v>
      </c>
      <c r="D31" s="284"/>
      <c r="E31" s="285" t="s">
        <v>506</v>
      </c>
      <c r="F31" s="73">
        <f t="shared" si="2"/>
        <v>11.2</v>
      </c>
      <c r="H31" s="69"/>
    </row>
    <row r="32" spans="1:9">
      <c r="G32" s="73"/>
      <c r="H32" s="69"/>
    </row>
    <row r="33" spans="1:9">
      <c r="D33" s="14">
        <f>SUM(D27:D31)</f>
        <v>0</v>
      </c>
      <c r="E33" s="174" t="s">
        <v>510</v>
      </c>
      <c r="F33" s="14" t="e">
        <f>(D27/$D$33)*F27+(D28/$D$33)*F28+(D29/$D$33)*F29+(D30/$D$33)*F30+(D31/$D$33)*F31</f>
        <v>#DIV/0!</v>
      </c>
      <c r="G33" s="175" t="s">
        <v>511</v>
      </c>
      <c r="H33" s="136" t="str">
        <f>IF(E11="Yes","",185*tfa)</f>
        <v/>
      </c>
      <c r="I33" s="21" t="s">
        <v>493</v>
      </c>
    </row>
    <row r="34" spans="1:9">
      <c r="G34" s="175"/>
      <c r="H34" s="136"/>
      <c r="I34" s="21"/>
    </row>
    <row r="35" spans="1:9">
      <c r="G35" s="175" t="s">
        <v>511</v>
      </c>
      <c r="H35" s="136">
        <f>IF(E11="yes",H22,H33)</f>
        <v>47376</v>
      </c>
      <c r="I35" s="21" t="s">
        <v>493</v>
      </c>
    </row>
    <row r="36" spans="1:9">
      <c r="G36" s="175"/>
      <c r="H36" s="136"/>
      <c r="I36" s="21"/>
    </row>
    <row r="37" spans="1:9" ht="18.75">
      <c r="B37" s="174" t="s">
        <v>512</v>
      </c>
      <c r="G37" s="292" t="s">
        <v>513</v>
      </c>
      <c r="H37" s="136">
        <f>H6*H35/H8</f>
        <v>7890.8270812334968</v>
      </c>
      <c r="I37" s="175" t="s">
        <v>488</v>
      </c>
    </row>
    <row r="38" spans="1:9">
      <c r="G38" s="73"/>
      <c r="H38" s="69"/>
    </row>
    <row r="39" spans="1:9" ht="18.75">
      <c r="B39" s="174" t="s">
        <v>514</v>
      </c>
      <c r="G39" s="289" t="s">
        <v>515</v>
      </c>
      <c r="H39" s="136">
        <f>IF(H37&lt;H6/3,H6/3-H37,0)</f>
        <v>0</v>
      </c>
      <c r="I39" s="175" t="s">
        <v>488</v>
      </c>
    </row>
    <row r="40" spans="1:9">
      <c r="G40" s="73"/>
      <c r="H40" s="69"/>
    </row>
    <row r="41" spans="1:9" ht="21">
      <c r="B41" s="174" t="s">
        <v>510</v>
      </c>
      <c r="G41" s="223" t="s">
        <v>516</v>
      </c>
      <c r="H41" s="21">
        <f>IF(E11="Yes",H22/(C22),F33)</f>
        <v>94</v>
      </c>
    </row>
    <row r="42" spans="1:9">
      <c r="G42" s="73"/>
      <c r="H42" s="69"/>
    </row>
    <row r="43" spans="1:9">
      <c r="A43" s="176"/>
      <c r="B43" s="175" t="s">
        <v>517</v>
      </c>
      <c r="C43" s="21"/>
      <c r="G43" s="175" t="s">
        <v>518</v>
      </c>
      <c r="H43" s="136">
        <f>IF(H6&lt;H37,H37/H41,H6/H41)</f>
        <v>83.944968949292516</v>
      </c>
      <c r="I43" s="175" t="s">
        <v>519</v>
      </c>
    </row>
    <row r="44" spans="1:9">
      <c r="G44" s="73"/>
      <c r="H44" s="69"/>
    </row>
    <row r="45" spans="1:9">
      <c r="B45" s="175" t="s">
        <v>520</v>
      </c>
      <c r="G45" s="175" t="s">
        <v>521</v>
      </c>
      <c r="H45" s="136">
        <f>H39/21.3</f>
        <v>0</v>
      </c>
      <c r="I45" s="175" t="s">
        <v>519</v>
      </c>
    </row>
    <row r="46" spans="1:9">
      <c r="A46" s="176"/>
      <c r="B46" s="21"/>
      <c r="C46" s="21"/>
      <c r="G46" s="73"/>
      <c r="H46" s="69"/>
    </row>
    <row r="47" spans="1:9">
      <c r="B47" s="175" t="s">
        <v>522</v>
      </c>
      <c r="G47" s="224" t="s">
        <v>523</v>
      </c>
      <c r="H47" s="177">
        <f>1/3*H4*G54/21.3</f>
        <v>162.56948212010874</v>
      </c>
      <c r="I47" s="175" t="s">
        <v>519</v>
      </c>
    </row>
    <row r="48" spans="1:9">
      <c r="G48" s="73"/>
      <c r="H48" s="69"/>
    </row>
    <row r="49" spans="1:16">
      <c r="A49" s="176"/>
      <c r="B49" s="14" t="s">
        <v>524</v>
      </c>
      <c r="C49" s="21"/>
      <c r="G49" s="175" t="s">
        <v>525</v>
      </c>
      <c r="H49" s="177">
        <f>SUM(H47+H43+H45)</f>
        <v>246.51445106940128</v>
      </c>
      <c r="I49" s="175" t="s">
        <v>519</v>
      </c>
    </row>
    <row r="50" spans="1:16">
      <c r="C50" s="21"/>
      <c r="G50" s="73"/>
      <c r="H50" s="69"/>
    </row>
    <row r="51" spans="1:16">
      <c r="A51" s="569"/>
      <c r="B51" s="225" t="s">
        <v>526</v>
      </c>
      <c r="C51" s="225"/>
      <c r="G51" s="175" t="s">
        <v>527</v>
      </c>
      <c r="H51" s="177">
        <f>59.73*(tfa*N)^0.4714</f>
        <v>961.91229768924836</v>
      </c>
      <c r="I51" s="175" t="s">
        <v>519</v>
      </c>
    </row>
    <row r="53" spans="1:16">
      <c r="A53" s="14" t="s">
        <v>528</v>
      </c>
      <c r="G53" s="77">
        <f>Win!F41</f>
        <v>8.5987999999999995E-2</v>
      </c>
      <c r="H53" s="73"/>
      <c r="L53" s="715">
        <f>Win!P41</f>
        <v>9.8437999999999984E-2</v>
      </c>
    </row>
    <row r="54" spans="1:16">
      <c r="A54" s="14" t="s">
        <v>529</v>
      </c>
      <c r="G54" s="77">
        <f>IF(G53&gt;0.095,0.96,52.2*G53^2-9.94*G53+1.433)</f>
        <v>0.96424274671680021</v>
      </c>
      <c r="H54" s="73"/>
      <c r="L54" s="715">
        <f>IF(L53&gt;0.095,0.96,52.2*L53^2-9.94*L53+1.433)</f>
        <v>0.96</v>
      </c>
    </row>
    <row r="55" spans="1:16">
      <c r="G55" s="73"/>
      <c r="H55" s="73"/>
    </row>
    <row r="56" spans="1:16">
      <c r="A56" s="14" t="s">
        <v>524</v>
      </c>
      <c r="G56" s="570">
        <f>H49</f>
        <v>246.51445106940128</v>
      </c>
      <c r="H56" s="73"/>
      <c r="L56" s="713">
        <f>H51*L54</f>
        <v>923.43580578167837</v>
      </c>
    </row>
    <row r="57" spans="1:16">
      <c r="G57" s="73"/>
      <c r="H57" s="73"/>
    </row>
    <row r="58" spans="1:16">
      <c r="A58" s="14" t="s">
        <v>530</v>
      </c>
      <c r="G58" s="76">
        <f>G56*0.85*0.9</f>
        <v>188.58355506809198</v>
      </c>
      <c r="H58" s="73"/>
      <c r="L58" s="716">
        <f>L56*0.85*0.9</f>
        <v>706.42839142298396</v>
      </c>
      <c r="P58" s="480" t="s">
        <v>2</v>
      </c>
    </row>
    <row r="59" spans="1:16">
      <c r="E59" s="14" t="s">
        <v>453</v>
      </c>
      <c r="G59" s="78">
        <f>G58*1000/(24*HsLength)</f>
        <v>32.33600052607887</v>
      </c>
      <c r="H59" s="73"/>
      <c r="L59" s="716">
        <f>L58*1000/(24*HsLength)</f>
        <v>121.1296967460535</v>
      </c>
    </row>
    <row r="60" spans="1:16">
      <c r="G60" s="34"/>
    </row>
    <row r="61" spans="1:16">
      <c r="G61" s="34"/>
    </row>
    <row r="62" spans="1:16" s="65" customFormat="1" ht="18" customHeight="1">
      <c r="A62" s="23" t="s">
        <v>531</v>
      </c>
      <c r="B62" s="26"/>
      <c r="C62" s="500"/>
      <c r="D62" s="500"/>
      <c r="E62" s="500"/>
      <c r="F62" s="27"/>
      <c r="G62" s="27"/>
      <c r="H62" s="500"/>
      <c r="I62" s="500"/>
      <c r="J62" s="507"/>
      <c r="L62" s="707"/>
    </row>
    <row r="63" spans="1:16">
      <c r="B63" s="30"/>
      <c r="C63" s="30"/>
      <c r="D63" s="35"/>
      <c r="E63" s="79" t="s">
        <v>453</v>
      </c>
    </row>
    <row r="64" spans="1:16">
      <c r="A64" s="36" t="s">
        <v>484</v>
      </c>
      <c r="B64" s="30"/>
      <c r="C64" s="30"/>
      <c r="D64" s="35"/>
      <c r="E64" s="80">
        <f>Light!G59</f>
        <v>32.33600052607887</v>
      </c>
      <c r="L64" s="716">
        <f>L59</f>
        <v>121.1296967460535</v>
      </c>
    </row>
    <row r="65" spans="1:18">
      <c r="A65" s="36" t="s">
        <v>349</v>
      </c>
      <c r="B65" s="30"/>
      <c r="C65" s="30"/>
      <c r="D65" s="35"/>
      <c r="E65" s="80">
        <f>WhGains</f>
        <v>123.97760725604934</v>
      </c>
      <c r="L65" s="716">
        <f>WH!Q103</f>
        <v>192.68806731498071</v>
      </c>
    </row>
    <row r="66" spans="1:18">
      <c r="A66" s="36" t="s">
        <v>532</v>
      </c>
      <c r="B66" s="30"/>
      <c r="C66" s="30"/>
      <c r="D66" s="35"/>
      <c r="E66" s="80">
        <f>50*N</f>
        <v>144.19050818056564</v>
      </c>
      <c r="L66" s="716"/>
      <c r="P66" s="480"/>
    </row>
    <row r="67" spans="1:18">
      <c r="A67" s="36" t="s">
        <v>533</v>
      </c>
      <c r="B67" s="30"/>
      <c r="C67" s="30"/>
      <c r="D67" s="35"/>
      <c r="E67" s="80">
        <f>37+1.2*tfa+19*N</f>
        <v>242.99239310861492</v>
      </c>
      <c r="L67" s="716"/>
      <c r="P67" s="480"/>
      <c r="R67" s="174"/>
    </row>
    <row r="68" spans="1:18">
      <c r="A68" s="36" t="s">
        <v>534</v>
      </c>
      <c r="B68" s="30"/>
      <c r="C68" s="30"/>
      <c r="D68" s="35"/>
      <c r="E68" s="80">
        <f>Vent!G48</f>
        <v>0</v>
      </c>
      <c r="L68" s="708">
        <v>0</v>
      </c>
      <c r="P68" s="480"/>
    </row>
    <row r="69" spans="1:18">
      <c r="A69" s="14" t="s">
        <v>535</v>
      </c>
      <c r="E69" s="571">
        <f>-(14+9*N)</f>
        <v>-39.954291472501815</v>
      </c>
      <c r="L69" s="716"/>
      <c r="P69" s="480"/>
    </row>
    <row r="70" spans="1:18">
      <c r="A70" s="36" t="s">
        <v>536</v>
      </c>
      <c r="B70" s="30"/>
      <c r="C70" s="30"/>
      <c r="D70" s="37"/>
      <c r="E70" s="81">
        <f>SUM(E64:E69)</f>
        <v>503.54221759880693</v>
      </c>
      <c r="L70" s="716">
        <f>SUM(L64,L65,E66,E67,L68,E69)</f>
        <v>661.04637387771299</v>
      </c>
    </row>
    <row r="74" spans="1:18">
      <c r="A74" s="274" t="s">
        <v>537</v>
      </c>
      <c r="B74" s="275"/>
      <c r="C74" s="275"/>
      <c r="D74" s="275"/>
      <c r="E74" s="275"/>
      <c r="F74" s="275"/>
    </row>
    <row r="75" spans="1:18">
      <c r="A75" s="279" t="s">
        <v>538</v>
      </c>
      <c r="B75" s="279" t="s">
        <v>539</v>
      </c>
      <c r="C75" s="275"/>
      <c r="D75" s="275"/>
      <c r="E75" s="275"/>
      <c r="F75" s="275"/>
    </row>
    <row r="76" spans="1:18">
      <c r="A76" s="279" t="s">
        <v>540</v>
      </c>
      <c r="B76" s="275">
        <v>80.5</v>
      </c>
      <c r="C76" s="275"/>
      <c r="D76" s="275"/>
      <c r="E76" s="275"/>
      <c r="F76" s="275"/>
    </row>
    <row r="77" spans="1:18">
      <c r="A77" s="279" t="s">
        <v>504</v>
      </c>
      <c r="B77" s="275">
        <v>66.900000000000006</v>
      </c>
      <c r="C77" s="275"/>
      <c r="D77" s="275"/>
      <c r="E77" s="275"/>
      <c r="F77" s="275"/>
    </row>
    <row r="78" spans="1:18">
      <c r="A78" s="279" t="s">
        <v>503</v>
      </c>
      <c r="B78" s="279">
        <v>26.1</v>
      </c>
      <c r="C78" s="275"/>
      <c r="D78" s="275"/>
      <c r="E78" s="275"/>
      <c r="F78" s="275"/>
    </row>
    <row r="79" spans="1:18">
      <c r="A79" s="279" t="s">
        <v>505</v>
      </c>
      <c r="B79" s="279">
        <v>15.7</v>
      </c>
      <c r="C79" s="275"/>
      <c r="D79" s="275"/>
      <c r="E79" s="275"/>
      <c r="F79" s="275"/>
    </row>
    <row r="80" spans="1:18">
      <c r="A80" s="279" t="s">
        <v>506</v>
      </c>
      <c r="B80" s="279">
        <v>11.2</v>
      </c>
      <c r="C80" s="275"/>
      <c r="D80" s="275"/>
      <c r="E80" s="275"/>
      <c r="F80" s="275"/>
    </row>
  </sheetData>
  <sheetProtection algorithmName="SHA-512" hashValue="hJcIvNlO9IaYvhEZERP1z4Mi0tUJoQFMigvY4Iq5A/k3P6vihDqkveg1AgE6qYR/IAzSARAMJtzbK10wPCnSLA==" saltValue="ym8MhXbF3S7f3Mr9FJn37Q==" spinCount="100000" sheet="1" objects="1" scenarios="1"/>
  <phoneticPr fontId="0" type="noConversion"/>
  <conditionalFormatting sqref="D27:E31">
    <cfRule type="expression" dxfId="54" priority="2">
      <formula>$E$11="Yes"</formula>
    </cfRule>
  </conditionalFormatting>
  <conditionalFormatting sqref="C16:F20">
    <cfRule type="expression" dxfId="53" priority="1">
      <formula>$E$11="No"</formula>
    </cfRule>
  </conditionalFormatting>
  <dataValidations count="2">
    <dataValidation type="list" allowBlank="1" showInputMessage="1" showErrorMessage="1" sqref="D16:D20 E11" xr:uid="{00000000-0002-0000-0800-000000000000}">
      <formula1>"Yes,No"</formula1>
    </dataValidation>
    <dataValidation type="list" allowBlank="1" showInputMessage="1" showErrorMessage="1" sqref="E16:E20 E27:E31" xr:uid="{00000000-0002-0000-0800-000001000000}">
      <formula1>$A$76:$A$80</formula1>
    </dataValidation>
  </dataValidations>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Excel Document" ma:contentTypeID="0x01010077A24A0B53B1514FB55430DDDEEC2D9000B32A8373DE7F354C90EBE0CAAC1A5972" ma:contentTypeVersion="16" ma:contentTypeDescription="" ma:contentTypeScope="" ma:versionID="c89bee780cce80916addaa23d4fa29f1">
  <xsd:schema xmlns:xsd="http://www.w3.org/2001/XMLSchema" xmlns:xs="http://www.w3.org/2001/XMLSchema" xmlns:p="http://schemas.microsoft.com/office/2006/metadata/properties" xmlns:ns2="1bce8da1-b36d-468b-af75-67064347aac2" targetNamespace="http://schemas.microsoft.com/office/2006/metadata/properties" ma:root="true" ma:fieldsID="0e0618f9c6b2cc874c33a5638035f3e3" ns2:_="">
    <xsd:import namespace="1bce8da1-b36d-468b-af75-67064347aac2"/>
    <xsd:element name="properties">
      <xsd:complexType>
        <xsd:sequence>
          <xsd:element name="documentManagement">
            <xsd:complexType>
              <xsd:all>
                <xsd:element ref="ns2:SEI_x0020_Category"/>
                <xsd:element ref="ns2:EPBD_x0020_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ce8da1-b36d-468b-af75-67064347aac2" elementFormDefault="qualified">
    <xsd:import namespace="http://schemas.microsoft.com/office/2006/documentManagement/types"/>
    <xsd:import namespace="http://schemas.microsoft.com/office/infopath/2007/PartnerControls"/>
    <xsd:element name="SEI_x0020_Category" ma:index="8" ma:displayName="SEAI Category" ma:default="Strategy / Compliments" ma:format="Dropdown" ma:internalName="SEI_x0020_Category" ma:readOnly="false">
      <xsd:simpleType>
        <xsd:restriction base="dms:Choice">
          <xsd:enumeration value="Strategy / Compliments"/>
          <xsd:enumeration value="Finance"/>
          <xsd:enumeration value="Plan &amp; Reporting"/>
          <xsd:enumeration value="Legal"/>
          <xsd:enumeration value="Internal Admin"/>
          <xsd:enumeration value="Methodology / Tools"/>
          <xsd:enumeration value="Systems"/>
          <xsd:enumeration value="QA"/>
          <xsd:enumeration value="Qualification &amp; Registration"/>
        </xsd:restriction>
      </xsd:simpleType>
    </xsd:element>
    <xsd:element name="EPBD_x0020_Category" ma:index="9" nillable="true" ma:displayName="EPBD Category" ma:default="Domestic" ma:format="Dropdown" ma:internalName="EPBD_x0020_Category" ma:readOnly="false">
      <xsd:simpleType>
        <xsd:restriction base="dms:Choice">
          <xsd:enumeration value="Domestic"/>
          <xsd:enumeration value="Non Domestic"/>
          <xsd:enumeration value="DEC"/>
          <xsd:enumeration value="EPB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SEI_x0020_Category xmlns="1bce8da1-b36d-468b-af75-67064347aac2">Methodology / Tools</SEI_x0020_Category>
    <EPBD_x0020_Category xmlns="1bce8da1-b36d-468b-af75-67064347aac2">Domestic</EPBD_x0020_Category>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FE4653-8DAA-4327-B3D8-40E79146D613}">
  <ds:schemaRefs>
    <ds:schemaRef ds:uri="http://schemas.microsoft.com/office/2006/metadata/longProperties"/>
  </ds:schemaRefs>
</ds:datastoreItem>
</file>

<file path=customXml/itemProps2.xml><?xml version="1.0" encoding="utf-8"?>
<ds:datastoreItem xmlns:ds="http://schemas.openxmlformats.org/officeDocument/2006/customXml" ds:itemID="{B924AE6D-7C40-4481-9FE4-7110455AB1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ce8da1-b36d-468b-af75-67064347aa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5966DA3-74D7-4FF9-BF98-D1EA95546DE0}">
  <ds:schemaRefs>
    <ds:schemaRef ds:uri="http://schemas.openxmlformats.org/package/2006/metadata/core-properties"/>
    <ds:schemaRef ds:uri="1bce8da1-b36d-468b-af75-67064347aac2"/>
    <ds:schemaRef ds:uri="http://purl.org/dc/elements/1.1/"/>
    <ds:schemaRef ds:uri="http://schemas.microsoft.com/office/infopath/2007/PartnerControls"/>
    <ds:schemaRef ds:uri="http://schemas.microsoft.com/office/2006/metadata/properties"/>
    <ds:schemaRef ds:uri="http://purl.org/dc/terms/"/>
    <ds:schemaRef ds:uri="http://schemas.microsoft.com/office/2006/documentManagement/types"/>
    <ds:schemaRef ds:uri="http://www.w3.org/XML/1998/namespace"/>
    <ds:schemaRef ds:uri="http://purl.org/dc/dcmitype/"/>
  </ds:schemaRefs>
</ds:datastoreItem>
</file>

<file path=customXml/itemProps4.xml><?xml version="1.0" encoding="utf-8"?>
<ds:datastoreItem xmlns:ds="http://schemas.openxmlformats.org/officeDocument/2006/customXml" ds:itemID="{EEE1B8F5-1F91-4319-BC75-1360288FC2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22</vt:i4>
      </vt:variant>
    </vt:vector>
  </HeadingPairs>
  <TitlesOfParts>
    <vt:vector size="46" baseType="lpstr">
      <vt:lpstr>Cov</vt:lpstr>
      <vt:lpstr>Code</vt:lpstr>
      <vt:lpstr>Proj</vt:lpstr>
      <vt:lpstr>Dim</vt:lpstr>
      <vt:lpstr>Vent</vt:lpstr>
      <vt:lpstr>Win</vt:lpstr>
      <vt:lpstr>Fab</vt:lpstr>
      <vt:lpstr>WH</vt:lpstr>
      <vt:lpstr>Light</vt:lpstr>
      <vt:lpstr>HtUse</vt:lpstr>
      <vt:lpstr>SH</vt:lpstr>
      <vt:lpstr>ER1</vt:lpstr>
      <vt:lpstr>ER2</vt:lpstr>
      <vt:lpstr>Result</vt:lpstr>
      <vt:lpstr>RER</vt:lpstr>
      <vt:lpstr>Fuel</vt:lpstr>
      <vt:lpstr>SWH</vt:lpstr>
      <vt:lpstr>Summer</vt:lpstr>
      <vt:lpstr>HP</vt:lpstr>
      <vt:lpstr>Heating Calc</vt:lpstr>
      <vt:lpstr>DHW Calc</vt:lpstr>
      <vt:lpstr>Meteorological data</vt:lpstr>
      <vt:lpstr>Rpt</vt:lpstr>
      <vt:lpstr>Sheet1</vt:lpstr>
      <vt:lpstr>Result!comply</vt:lpstr>
      <vt:lpstr>ctrlCat</vt:lpstr>
      <vt:lpstr>cylVol</vt:lpstr>
      <vt:lpstr>fueldata</vt:lpstr>
      <vt:lpstr>HeatUse</vt:lpstr>
      <vt:lpstr>hlc</vt:lpstr>
      <vt:lpstr>hlcRef</vt:lpstr>
      <vt:lpstr>hlp</vt:lpstr>
      <vt:lpstr>HsLength</vt:lpstr>
      <vt:lpstr>N</vt:lpstr>
      <vt:lpstr>Proj!Print_Area</vt:lpstr>
      <vt:lpstr>respons</vt:lpstr>
      <vt:lpstr>ShReqt</vt:lpstr>
      <vt:lpstr>Tem</vt:lpstr>
      <vt:lpstr>tfa</vt:lpstr>
      <vt:lpstr>TGDL</vt:lpstr>
      <vt:lpstr>Ti_seas</vt:lpstr>
      <vt:lpstr>Uf_seas</vt:lpstr>
      <vt:lpstr>volume</vt:lpstr>
      <vt:lpstr>WhGains</vt:lpstr>
      <vt:lpstr>WhReqt</vt:lpstr>
      <vt:lpstr>WhReqtSup</vt:lpstr>
    </vt:vector>
  </TitlesOfParts>
  <Manager/>
  <Company>Emerald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DEAP 3.2.0 TGD L 2008_2011 Workbook V0.3 - Unprotected</dc:title>
  <dc:subject/>
  <dc:creator>Ciaran King</dc:creator>
  <cp:keywords/>
  <dc:description>Developed for SEI</dc:description>
  <cp:lastModifiedBy>Coyle Orla</cp:lastModifiedBy>
  <cp:revision/>
  <dcterms:created xsi:type="dcterms:W3CDTF">2005-07-16T12:33:31Z</dcterms:created>
  <dcterms:modified xsi:type="dcterms:W3CDTF">2019-07-17T08:14:41Z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Excel Document</vt:lpwstr>
  </property>
  <property fmtid="{D5CDD505-2E9C-101B-9397-08002B2CF9AE}" pid="3" name="ContentTypeId">
    <vt:lpwstr>0x01010077A24A0B53B1514FB55430DDDEEC2D9000B32A8373DE7F354C90EBE0CAAC1A5972</vt:lpwstr>
  </property>
  <property fmtid="{D5CDD505-2E9C-101B-9397-08002B2CF9AE}" pid="4" name="SharedWithUsers">
    <vt:lpwstr>296;#Coyle Orla</vt:lpwstr>
  </property>
</Properties>
</file>